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240" yWindow="75" windowWidth="20115" windowHeight="7995"/>
  </bookViews>
  <sheets>
    <sheet name="Funding Circularity" sheetId="1" r:id="rId1"/>
    <sheet name="Funding Cascade" sheetId="2" r:id="rId2"/>
  </sheets>
  <externalReferences>
    <externalReference r:id="rId3"/>
  </externalReferences>
  <definedNames>
    <definedName name="age">'[1]Depreciation Expense'!A$1-'[1]Depreciation Expense'!$C1+1</definedName>
    <definedName name="alive">age&gt;0</definedName>
    <definedName name="CADS">OFFSET('[1]Annual Model'!$E$91,'[1]Annual Model'!$E$116,'[1]Annual Model'!$E$117,'[1]Annual Model'!$E$118,'[1]Annual Model'!$E$119)</definedName>
    <definedName name="cads1">OFFSET('[1]Annual Renewable Model'!$D$340,'[1]Annual Renewable Model'!$D$445,'[1]Annual Renewable Model'!$D$446,'[1]Annual Renewable Model'!$D$447,'[1]Annual Renewable Model'!$D$448)</definedName>
    <definedName name="Calc_Amt">'[1]Detailed Periodic Model'!$H$149</definedName>
    <definedName name="Cash_Flow">'[1]Monte Carlo'!$D$4</definedName>
    <definedName name="cb">'[1]Detailed Periodic Model'!$G$386:$HZ$386</definedName>
    <definedName name="cfads1">OFFSET('[1]Periodic Model without Tax'!$E$553,'[1]Periodic Model without Tax'!$E$602,'[1]Periodic Model without Tax'!$E$603,'[1]Periodic Model without Tax'!$E$604,'[1]Periodic Model without Tax'!$E$605)</definedName>
    <definedName name="cfads3">OFFSET('[1]Annual Summary'!$E$75,'[1]Annual Summary'!$E$82,'[1]Annual Summary'!$E$83,'[1]Annual Summary'!$E$84,'[1]Annual Summary'!$E$85)</definedName>
    <definedName name="comment">'[1]Dates for Periodic Model'!$N$2</definedName>
    <definedName name="Commercial_Operation">'[1]Periodic Model without Tax'!$F$14</definedName>
    <definedName name="dates">'[1]Dates for Periodic Model'!$E$3:$E$160</definedName>
    <definedName name="dates1">'[1]Periodic Model without Tax'!$E$618:$E$794</definedName>
    <definedName name="debt_bal3">'[1]DSRA and Circularity'!$E$238</definedName>
    <definedName name="Debt_Dif">'[1]Detailed Periodic Model'!$I$149</definedName>
    <definedName name="debt_pct">'[1]Annual Model'!$E$17</definedName>
    <definedName name="debt_ser1">OFFSET('[1]Periodic Model without Tax'!$E$599,'[1]Periodic Model without Tax'!$E$602,'[1]Periodic Model without Tax'!$E$603,'[1]Periodic Model without Tax'!$E$604,'[1]Periodic Model without Tax'!$E$605)</definedName>
    <definedName name="debt_serv3">OFFSET('[1]Annual Summary'!$E$76,'[1]Annual Summary'!$E$82,'[1]Annual Summary'!$E$83,'[1]Annual Summary'!$E$84,'[1]Annual Summary'!$E$85)</definedName>
    <definedName name="dif_idc">'[1]Detailed Periodic Model'!$I$150</definedName>
    <definedName name="diff">'[1]Annual Renewable Model'!$D$349</definedName>
    <definedName name="diff_tot">'Funding Circularity'!$F$26</definedName>
    <definedName name="diff_tot1">'Funding Circularity'!$F$139</definedName>
    <definedName name="difference" localSheetId="0">'Funding Circularity'!$F$20</definedName>
    <definedName name="difference1">'Funding Circularity'!$F$133</definedName>
    <definedName name="DS">OFFSET('[1]Annual Model'!$E$92,'[1]Annual Model'!$E$116,'[1]Annual Model'!$E$117,'[1]Annual Model'!$E$118,'[1]Annual Model'!$E$119)</definedName>
    <definedName name="ds_1">OFFSET('[1]Annual Renewable Model'!$D$341,'[1]Annual Renewable Model'!$D$445,'[1]Annual Renewable Model'!$D$446,'[1]Annual Renewable Model'!$D$447,'[1]Annual Renewable Model'!$D$448)</definedName>
    <definedName name="EPC">'[1]Monte Carlo'!$D$3</definedName>
    <definedName name="eq_irr">'[1]Annual Renewable Model'!$L$22</definedName>
    <definedName name="Financial_Close">'[1]Periodic Model without Tax'!$F$13</definedName>
    <definedName name="Fixed_Amt">'[1]Detailed Periodic Model'!$F$149</definedName>
    <definedName name="fixed2">'[1]Periodic Model without Tax'!$F$268</definedName>
    <definedName name="from">'Funding Circularity'!$F$19</definedName>
    <definedName name="from_S">'[1]Periodic Model without Tax'!$F$267</definedName>
    <definedName name="from1">'Funding Circularity'!$F$132</definedName>
    <definedName name="funding_difference">'Funding Cascade'!$F$66</definedName>
    <definedName name="funding_from">'Funding Cascade'!$F$64</definedName>
    <definedName name="funding_input">'Funding Cascade'!$F$65</definedName>
    <definedName name="idc_sr_fixed">'[1]Detailed Periodic Model'!$F$150</definedName>
    <definedName name="mattia">OFFSET([1]Offset!$C$3,0,0,1,[1]Offset!$E$9)</definedName>
    <definedName name="max_iter">'Funding Cascade'!$F$62</definedName>
    <definedName name="Months_per_Period___Construction">'[1]Periodic Model without Tax'!$F$24</definedName>
    <definedName name="Months_per_Period___Operation">'[1]Periodic Model without Tax'!$F$25</definedName>
    <definedName name="Operating_Cash_Flow">'[1]Annual Model'!$E$13</definedName>
    <definedName name="Periods_of_Construction">'[1]Periodic Model without Tax'!$F$30</definedName>
    <definedName name="Periods_per_Year_Operation">'[1]Periodic Model without Tax'!$F$18</definedName>
    <definedName name="Proj_Life">'[1]Monte Carlo'!$D$5</definedName>
    <definedName name="repay">'[1]Annual Renewable Model'!$O$34</definedName>
    <definedName name="Retirement_Date">'[1]Periodic Model without Tax'!$F$22</definedName>
    <definedName name="sc_model">'[1]Periodic Model without Tax'!$F$5</definedName>
    <definedName name="sculpt_mode">'[1]Annual Renewable Model'!$J$2</definedName>
    <definedName name="sculpt_mode_switch">'[1]Detailed Periodic Model'!$E$4</definedName>
    <definedName name="sculpted">'[1]Detailed Periodic Model'!$G$385</definedName>
    <definedName name="Senior_Debt">'[1]Monte Carlo'!$D$6</definedName>
    <definedName name="senior_difference">'Funding Cascade'!$F$74</definedName>
    <definedName name="senior_from">'Funding Cascade'!$F$72</definedName>
    <definedName name="senior_to">'Funding Cascade'!$F$73</definedName>
    <definedName name="sr_diff">'Funding Cascade'!$F$231</definedName>
    <definedName name="sr_from">'Funding Cascade'!$F$229</definedName>
    <definedName name="sr_to">'Funding Cascade'!$F$230</definedName>
    <definedName name="Sub_Debt">'[1]Monte Carlo'!$D$7</definedName>
    <definedName name="sub_debt_difference">'Funding Cascade'!$F$70</definedName>
    <definedName name="sub_debt_from">'Funding Cascade'!$F$68</definedName>
    <definedName name="sub_debt_to">'Funding Cascade'!$F$69</definedName>
    <definedName name="tar_irr">'[1]Annual Renewable Model'!$I$37</definedName>
    <definedName name="to">'Funding Circularity'!$F$18</definedName>
    <definedName name="to_top_up">'[1]DSRA and Circularity'!#REF!</definedName>
    <definedName name="_to1">'Funding Circularity'!$F$131</definedName>
    <definedName name="tot_debt">OFFSET('[1]Periodic Model without Tax'!$E$600,'[1]Periodic Model without Tax'!$E$602,'[1]Periodic Model without Tax'!$E$603,'[1]Periodic Model without Tax'!$E$604,'[1]Periodic Model without Tax'!$E$605)</definedName>
    <definedName name="tot_diff" localSheetId="1">'Funding Cascade'!$F$233</definedName>
    <definedName name="total_difference">'Funding Cascade'!$F$76</definedName>
    <definedName name="Volatility">'[1]Monte Carlo'!$D$9</definedName>
    <definedName name="x_range3">OFFSET('[1]Annual Summary'!$E$74,'[1]Annual Summary'!$E$82,'[1]Annual Summary'!$E$83,'[1]Annual Summary'!$E$84,'[1]Annual Summary'!$E$85)</definedName>
    <definedName name="Years_of_Concession">'[1]Periodic Model without Tax'!$F$20</definedName>
  </definedNames>
  <calcPr calcId="145621" calcMode="autoNoTable"/>
</workbook>
</file>

<file path=xl/calcChain.xml><?xml version="1.0" encoding="utf-8"?>
<calcChain xmlns="http://schemas.openxmlformats.org/spreadsheetml/2006/main">
  <c r="K348" i="2" l="1"/>
  <c r="K346" i="2"/>
  <c r="S345" i="2"/>
  <c r="R345" i="2"/>
  <c r="Q345" i="2"/>
  <c r="P345" i="2"/>
  <c r="O345" i="2"/>
  <c r="N345" i="2"/>
  <c r="M345" i="2"/>
  <c r="L345" i="2"/>
  <c r="L346" i="2" s="1"/>
  <c r="K345" i="2"/>
  <c r="M344" i="2"/>
  <c r="L344" i="2"/>
  <c r="H329" i="2"/>
  <c r="G319" i="2"/>
  <c r="F314" i="2"/>
  <c r="F310" i="2"/>
  <c r="F309" i="2"/>
  <c r="F308" i="2"/>
  <c r="G308" i="2" s="1"/>
  <c r="E308" i="2"/>
  <c r="C305" i="2"/>
  <c r="E319" i="2" s="1"/>
  <c r="F319" i="2" s="1"/>
  <c r="F320" i="2" s="1"/>
  <c r="G291" i="2"/>
  <c r="F291" i="2"/>
  <c r="F292" i="2" s="1"/>
  <c r="F286" i="2"/>
  <c r="F283" i="2"/>
  <c r="J280" i="2"/>
  <c r="F280" i="2"/>
  <c r="G280" i="2" s="1"/>
  <c r="H280" i="2" s="1"/>
  <c r="I280" i="2" s="1"/>
  <c r="D278" i="2"/>
  <c r="C336" i="2" s="1"/>
  <c r="C339" i="2" s="1"/>
  <c r="C278" i="2"/>
  <c r="F262" i="2"/>
  <c r="F258" i="2"/>
  <c r="C253" i="2"/>
  <c r="J250" i="2"/>
  <c r="I250" i="2"/>
  <c r="J247" i="2"/>
  <c r="J329" i="2" s="1"/>
  <c r="I247" i="2"/>
  <c r="I329" i="2" s="1"/>
  <c r="H247" i="2"/>
  <c r="H250" i="2" s="1"/>
  <c r="G247" i="2"/>
  <c r="F247" i="2"/>
  <c r="F329" i="2" s="1"/>
  <c r="J244" i="2"/>
  <c r="J243" i="2"/>
  <c r="I242" i="2"/>
  <c r="I223" i="2"/>
  <c r="I221" i="2"/>
  <c r="J200" i="2"/>
  <c r="I200" i="2"/>
  <c r="H200" i="2"/>
  <c r="G200" i="2"/>
  <c r="F200" i="2"/>
  <c r="G188" i="2"/>
  <c r="F188" i="2"/>
  <c r="E188" i="2"/>
  <c r="E185" i="2"/>
  <c r="E183" i="2"/>
  <c r="F183" i="2" s="1"/>
  <c r="F184" i="2" s="1"/>
  <c r="F177" i="2"/>
  <c r="F173" i="2"/>
  <c r="F172" i="2"/>
  <c r="E171" i="2"/>
  <c r="F171" i="2" s="1"/>
  <c r="G171" i="2" s="1"/>
  <c r="D168" i="2"/>
  <c r="B176" i="2" s="1"/>
  <c r="C168" i="2"/>
  <c r="E191" i="2" s="1"/>
  <c r="E155" i="2"/>
  <c r="F154" i="2"/>
  <c r="F153" i="2"/>
  <c r="G153" i="2" s="1"/>
  <c r="H152" i="2"/>
  <c r="F152" i="2"/>
  <c r="G152" i="2" s="1"/>
  <c r="E152" i="2"/>
  <c r="E148" i="2"/>
  <c r="F147" i="2"/>
  <c r="H146" i="2"/>
  <c r="G146" i="2"/>
  <c r="F146" i="2"/>
  <c r="F140" i="2"/>
  <c r="F137" i="2"/>
  <c r="F136" i="2"/>
  <c r="I134" i="2"/>
  <c r="J134" i="2" s="1"/>
  <c r="F134" i="2"/>
  <c r="G134" i="2" s="1"/>
  <c r="H134" i="2" s="1"/>
  <c r="F133" i="2"/>
  <c r="G133" i="2" s="1"/>
  <c r="H133" i="2" s="1"/>
  <c r="I133" i="2" s="1"/>
  <c r="J133" i="2" s="1"/>
  <c r="D132" i="2"/>
  <c r="C208" i="2" s="1"/>
  <c r="C211" i="2" s="1"/>
  <c r="C132" i="2"/>
  <c r="E133" i="2" s="1"/>
  <c r="E153" i="2" s="1"/>
  <c r="E118" i="2"/>
  <c r="F118" i="2" s="1"/>
  <c r="E115" i="2"/>
  <c r="F107" i="2"/>
  <c r="B106" i="2"/>
  <c r="F103" i="2"/>
  <c r="F102" i="2"/>
  <c r="D98" i="2"/>
  <c r="C207" i="2" s="1"/>
  <c r="C210" i="2" s="1"/>
  <c r="C98" i="2"/>
  <c r="J95" i="2"/>
  <c r="H95" i="2"/>
  <c r="G95" i="2"/>
  <c r="J91" i="2"/>
  <c r="I91" i="2"/>
  <c r="I95" i="2" s="1"/>
  <c r="H91" i="2"/>
  <c r="G91" i="2"/>
  <c r="F91" i="2"/>
  <c r="J88" i="2"/>
  <c r="J87" i="2"/>
  <c r="I87" i="2"/>
  <c r="I86" i="2"/>
  <c r="I88" i="2" s="1"/>
  <c r="F68" i="2"/>
  <c r="F70" i="2" s="1"/>
  <c r="I60" i="2"/>
  <c r="K57" i="2"/>
  <c r="F56" i="2"/>
  <c r="F60" i="2" s="1"/>
  <c r="K55" i="2"/>
  <c r="K56" i="2" s="1"/>
  <c r="F44" i="2"/>
  <c r="F41" i="2"/>
  <c r="J40" i="2"/>
  <c r="I40" i="2"/>
  <c r="H40" i="2"/>
  <c r="G40" i="2"/>
  <c r="F40" i="2"/>
  <c r="F42" i="2" s="1"/>
  <c r="F34" i="2"/>
  <c r="F31" i="2"/>
  <c r="F24" i="2"/>
  <c r="J20" i="2"/>
  <c r="I20" i="2"/>
  <c r="H20" i="2"/>
  <c r="G20" i="2"/>
  <c r="F20" i="2"/>
  <c r="G18" i="2"/>
  <c r="H18" i="2" s="1"/>
  <c r="I18" i="2" s="1"/>
  <c r="J18" i="2" s="1"/>
  <c r="F18" i="2"/>
  <c r="J14" i="2"/>
  <c r="I13" i="2"/>
  <c r="I14" i="2" s="1"/>
  <c r="H13" i="2"/>
  <c r="H14" i="2" s="1"/>
  <c r="G13" i="2"/>
  <c r="G14" i="2" s="1"/>
  <c r="F13" i="2"/>
  <c r="F14" i="2" s="1"/>
  <c r="E271" i="1"/>
  <c r="E263" i="1" s="1"/>
  <c r="E266" i="1" s="1"/>
  <c r="E237" i="1"/>
  <c r="J237" i="1" s="1"/>
  <c r="K237" i="1" s="1"/>
  <c r="L237" i="1" s="1"/>
  <c r="M237" i="1" s="1"/>
  <c r="N237" i="1" s="1"/>
  <c r="O237" i="1" s="1"/>
  <c r="P237" i="1" s="1"/>
  <c r="Q237" i="1" s="1"/>
  <c r="R237" i="1" s="1"/>
  <c r="S237" i="1" s="1"/>
  <c r="T237" i="1" s="1"/>
  <c r="E234" i="1"/>
  <c r="J234" i="1" s="1"/>
  <c r="K234" i="1" s="1"/>
  <c r="L234" i="1" s="1"/>
  <c r="M234" i="1" s="1"/>
  <c r="N234" i="1" s="1"/>
  <c r="O234" i="1" s="1"/>
  <c r="P234" i="1" s="1"/>
  <c r="Q234" i="1" s="1"/>
  <c r="R234" i="1" s="1"/>
  <c r="S234" i="1" s="1"/>
  <c r="T234" i="1" s="1"/>
  <c r="T233" i="1"/>
  <c r="E220" i="1"/>
  <c r="K220" i="1" s="1"/>
  <c r="L220" i="1" s="1"/>
  <c r="M220" i="1" s="1"/>
  <c r="N220" i="1" s="1"/>
  <c r="O220" i="1" s="1"/>
  <c r="P220" i="1" s="1"/>
  <c r="Q220" i="1" s="1"/>
  <c r="R220" i="1" s="1"/>
  <c r="S220" i="1" s="1"/>
  <c r="T220" i="1" s="1"/>
  <c r="E219" i="1"/>
  <c r="K214" i="1"/>
  <c r="E209" i="1"/>
  <c r="E206" i="1"/>
  <c r="F206" i="1" s="1"/>
  <c r="G206" i="1" s="1"/>
  <c r="H206" i="1" s="1"/>
  <c r="I206" i="1" s="1"/>
  <c r="J206" i="1" s="1"/>
  <c r="E204" i="1"/>
  <c r="F203" i="1"/>
  <c r="G202" i="1"/>
  <c r="F202" i="1"/>
  <c r="E202" i="1"/>
  <c r="F196" i="1"/>
  <c r="F185" i="1"/>
  <c r="F184" i="1"/>
  <c r="F176" i="1"/>
  <c r="G173" i="1"/>
  <c r="F173" i="1"/>
  <c r="E173" i="1"/>
  <c r="F165" i="1"/>
  <c r="J163" i="1"/>
  <c r="J155" i="1"/>
  <c r="I155" i="1"/>
  <c r="H155" i="1"/>
  <c r="G155" i="1"/>
  <c r="F155" i="1"/>
  <c r="J153" i="1"/>
  <c r="I152" i="1"/>
  <c r="I163" i="1" s="1"/>
  <c r="H152" i="1"/>
  <c r="G152" i="1" s="1"/>
  <c r="F148" i="1"/>
  <c r="F149" i="1" s="1"/>
  <c r="E227" i="1" s="1"/>
  <c r="F143" i="1"/>
  <c r="G129" i="1"/>
  <c r="K136" i="1" s="1"/>
  <c r="Q128" i="1"/>
  <c r="J128" i="1"/>
  <c r="E193" i="1" s="1"/>
  <c r="F193" i="1" s="1"/>
  <c r="E128" i="1"/>
  <c r="K123" i="1"/>
  <c r="J123" i="1"/>
  <c r="I123" i="1"/>
  <c r="H123" i="1"/>
  <c r="G123" i="1"/>
  <c r="F123" i="1"/>
  <c r="M122" i="1"/>
  <c r="N122" i="1" s="1"/>
  <c r="L122" i="1"/>
  <c r="E104" i="1"/>
  <c r="K104" i="1" s="1"/>
  <c r="L104" i="1" s="1"/>
  <c r="M104" i="1" s="1"/>
  <c r="N104" i="1" s="1"/>
  <c r="O104" i="1" s="1"/>
  <c r="P104" i="1" s="1"/>
  <c r="Q104" i="1" s="1"/>
  <c r="R104" i="1" s="1"/>
  <c r="S104" i="1" s="1"/>
  <c r="T104" i="1" s="1"/>
  <c r="E103" i="1"/>
  <c r="M102" i="1"/>
  <c r="L102" i="1"/>
  <c r="K102" i="1"/>
  <c r="E97" i="1"/>
  <c r="F94" i="1"/>
  <c r="G94" i="1" s="1"/>
  <c r="H94" i="1" s="1"/>
  <c r="I94" i="1" s="1"/>
  <c r="J94" i="1" s="1"/>
  <c r="E94" i="1"/>
  <c r="E92" i="1"/>
  <c r="F91" i="1"/>
  <c r="E90" i="1"/>
  <c r="F90" i="1" s="1"/>
  <c r="G90" i="1" s="1"/>
  <c r="F84" i="1"/>
  <c r="F73" i="1"/>
  <c r="F64" i="1"/>
  <c r="E61" i="1"/>
  <c r="F61" i="1" s="1"/>
  <c r="F53" i="1"/>
  <c r="J51" i="1"/>
  <c r="I51" i="1"/>
  <c r="J43" i="1"/>
  <c r="I43" i="1"/>
  <c r="H43" i="1"/>
  <c r="G43" i="1"/>
  <c r="F43" i="1"/>
  <c r="J41" i="1"/>
  <c r="G41" i="1"/>
  <c r="F41" i="1"/>
  <c r="I40" i="1"/>
  <c r="H40" i="1" s="1"/>
  <c r="G40" i="1"/>
  <c r="G51" i="1" s="1"/>
  <c r="F40" i="1"/>
  <c r="F51" i="1" s="1"/>
  <c r="F35" i="1"/>
  <c r="F30" i="1"/>
  <c r="J24" i="1"/>
  <c r="K23" i="1"/>
  <c r="G16" i="1"/>
  <c r="Q15" i="1"/>
  <c r="J15" i="1"/>
  <c r="E81" i="1" s="1"/>
  <c r="F81" i="1" s="1"/>
  <c r="E15" i="1"/>
  <c r="L10" i="1"/>
  <c r="K10" i="1"/>
  <c r="J10" i="1"/>
  <c r="I10" i="1"/>
  <c r="H10" i="1"/>
  <c r="G10" i="1"/>
  <c r="F10" i="1"/>
  <c r="N9" i="1"/>
  <c r="M9" i="1"/>
  <c r="M10" i="1" s="1"/>
  <c r="L9" i="1"/>
  <c r="L105" i="1" l="1"/>
  <c r="L114" i="1" s="1"/>
  <c r="M105" i="1"/>
  <c r="G193" i="1"/>
  <c r="N102" i="1"/>
  <c r="N10" i="1"/>
  <c r="G81" i="1"/>
  <c r="F92" i="1"/>
  <c r="N214" i="1"/>
  <c r="O122" i="1"/>
  <c r="F152" i="1"/>
  <c r="G153" i="1"/>
  <c r="H163" i="1"/>
  <c r="H173" i="1"/>
  <c r="H202" i="1"/>
  <c r="F204" i="1"/>
  <c r="F21" i="2"/>
  <c r="F22" i="2" s="1"/>
  <c r="F25" i="2" s="1"/>
  <c r="F28" i="2" s="1"/>
  <c r="H171" i="2"/>
  <c r="F174" i="2"/>
  <c r="H319" i="2"/>
  <c r="H41" i="1"/>
  <c r="H51" i="1"/>
  <c r="E43" i="1"/>
  <c r="H90" i="1"/>
  <c r="L214" i="1"/>
  <c r="L123" i="1"/>
  <c r="N123" i="1"/>
  <c r="I153" i="1"/>
  <c r="G163" i="1"/>
  <c r="M214" i="1"/>
  <c r="G118" i="2"/>
  <c r="F148" i="2"/>
  <c r="F159" i="2"/>
  <c r="H188" i="2"/>
  <c r="M114" i="1"/>
  <c r="O9" i="1"/>
  <c r="F36" i="1"/>
  <c r="E111" i="1" s="1"/>
  <c r="G61" i="1"/>
  <c r="J137" i="1"/>
  <c r="E155" i="1"/>
  <c r="T236" i="1"/>
  <c r="T238" i="1" s="1"/>
  <c r="T215" i="1" s="1"/>
  <c r="E267" i="1"/>
  <c r="E268" i="1"/>
  <c r="E274" i="1"/>
  <c r="E275" i="1" s="1"/>
  <c r="I146" i="2"/>
  <c r="K105" i="1"/>
  <c r="K114" i="1" s="1"/>
  <c r="M123" i="1"/>
  <c r="H153" i="1"/>
  <c r="H153" i="2"/>
  <c r="I153" i="2" s="1"/>
  <c r="J153" i="2" s="1"/>
  <c r="G154" i="2"/>
  <c r="I41" i="1"/>
  <c r="H154" i="2"/>
  <c r="I152" i="2"/>
  <c r="F155" i="2"/>
  <c r="F143" i="2" s="1"/>
  <c r="C209" i="2"/>
  <c r="C212" i="2" s="1"/>
  <c r="H291" i="2"/>
  <c r="H308" i="2"/>
  <c r="F311" i="2"/>
  <c r="F149" i="2"/>
  <c r="H242" i="2"/>
  <c r="I244" i="2"/>
  <c r="I243" i="2"/>
  <c r="F72" i="1"/>
  <c r="H86" i="2"/>
  <c r="E135" i="2"/>
  <c r="F135" i="2" s="1"/>
  <c r="E169" i="2"/>
  <c r="G183" i="2"/>
  <c r="F185" i="2"/>
  <c r="G329" i="2"/>
  <c r="G250" i="2"/>
  <c r="E119" i="2"/>
  <c r="F119" i="2" s="1"/>
  <c r="G119" i="2" s="1"/>
  <c r="H119" i="2" s="1"/>
  <c r="I119" i="2" s="1"/>
  <c r="J119" i="2" s="1"/>
  <c r="E113" i="2"/>
  <c r="F113" i="2" s="1"/>
  <c r="E101" i="2"/>
  <c r="F101" i="2" s="1"/>
  <c r="E99" i="2"/>
  <c r="F99" i="2" s="1"/>
  <c r="G99" i="2" s="1"/>
  <c r="H99" i="2" s="1"/>
  <c r="I99" i="2" s="1"/>
  <c r="J99" i="2" s="1"/>
  <c r="E121" i="2"/>
  <c r="E267" i="2"/>
  <c r="F267" i="2" s="1"/>
  <c r="E269" i="2"/>
  <c r="D253" i="2"/>
  <c r="E254" i="2"/>
  <c r="F254" i="2" s="1"/>
  <c r="G254" i="2" s="1"/>
  <c r="H254" i="2" s="1"/>
  <c r="I254" i="2" s="1"/>
  <c r="J254" i="2" s="1"/>
  <c r="E256" i="2"/>
  <c r="F256" i="2" s="1"/>
  <c r="F257" i="2"/>
  <c r="M346" i="2"/>
  <c r="N344" i="2"/>
  <c r="L348" i="2"/>
  <c r="M348" i="2" s="1"/>
  <c r="N348" i="2" s="1"/>
  <c r="O348" i="2" s="1"/>
  <c r="P348" i="2" s="1"/>
  <c r="Q348" i="2" s="1"/>
  <c r="R348" i="2" s="1"/>
  <c r="S348" i="2" s="1"/>
  <c r="E293" i="2"/>
  <c r="E321" i="2"/>
  <c r="F282" i="2"/>
  <c r="D305" i="2"/>
  <c r="F293" i="2" l="1"/>
  <c r="F259" i="2"/>
  <c r="G256" i="2"/>
  <c r="I154" i="2"/>
  <c r="J152" i="2"/>
  <c r="J154" i="2" s="1"/>
  <c r="G155" i="2"/>
  <c r="G143" i="2" s="1"/>
  <c r="F321" i="2"/>
  <c r="E189" i="2"/>
  <c r="F189" i="2" s="1"/>
  <c r="F169" i="2"/>
  <c r="G169" i="2" s="1"/>
  <c r="H169" i="2" s="1"/>
  <c r="I169" i="2" s="1"/>
  <c r="J169" i="2" s="1"/>
  <c r="P9" i="1"/>
  <c r="O102" i="1"/>
  <c r="O10" i="1"/>
  <c r="H118" i="2"/>
  <c r="G120" i="2"/>
  <c r="I319" i="2"/>
  <c r="F26" i="2"/>
  <c r="G24" i="2" s="1"/>
  <c r="H193" i="1"/>
  <c r="C335" i="2"/>
  <c r="C338" i="2" s="1"/>
  <c r="B261" i="2"/>
  <c r="F104" i="2"/>
  <c r="G101" i="2"/>
  <c r="G135" i="2"/>
  <c r="F138" i="2"/>
  <c r="H243" i="2"/>
  <c r="G242" i="2"/>
  <c r="H244" i="2"/>
  <c r="I291" i="2"/>
  <c r="J146" i="2"/>
  <c r="I188" i="2"/>
  <c r="F156" i="2"/>
  <c r="I90" i="1"/>
  <c r="N346" i="2"/>
  <c r="O344" i="2"/>
  <c r="F268" i="2"/>
  <c r="G267" i="2"/>
  <c r="G121" i="2"/>
  <c r="G110" i="2" s="1"/>
  <c r="H183" i="2"/>
  <c r="H61" i="1"/>
  <c r="G159" i="2"/>
  <c r="H159" i="2" s="1"/>
  <c r="I159" i="2" s="1"/>
  <c r="J159" i="2" s="1"/>
  <c r="F142" i="2"/>
  <c r="F158" i="2" s="1"/>
  <c r="F150" i="2"/>
  <c r="F211" i="2"/>
  <c r="F120" i="2"/>
  <c r="O123" i="1"/>
  <c r="P122" i="1"/>
  <c r="O214" i="1"/>
  <c r="F179" i="2"/>
  <c r="I308" i="2"/>
  <c r="H155" i="2"/>
  <c r="H143" i="2" s="1"/>
  <c r="F29" i="1"/>
  <c r="F31" i="1" s="1"/>
  <c r="I171" i="2"/>
  <c r="F156" i="1"/>
  <c r="F198" i="1"/>
  <c r="I173" i="1"/>
  <c r="F153" i="1"/>
  <c r="F163" i="1"/>
  <c r="H81" i="1"/>
  <c r="N105" i="1"/>
  <c r="N114" i="1"/>
  <c r="C337" i="2"/>
  <c r="C340" i="2" s="1"/>
  <c r="B313" i="2"/>
  <c r="F269" i="2"/>
  <c r="G113" i="2"/>
  <c r="F114" i="2"/>
  <c r="G86" i="2"/>
  <c r="H88" i="2"/>
  <c r="H87" i="2"/>
  <c r="F186" i="2"/>
  <c r="F142" i="1"/>
  <c r="F144" i="1" s="1"/>
  <c r="I202" i="1"/>
  <c r="F86" i="1"/>
  <c r="F44" i="1"/>
  <c r="J171" i="2" l="1"/>
  <c r="J308" i="2"/>
  <c r="I183" i="2"/>
  <c r="F270" i="2"/>
  <c r="F330" i="2"/>
  <c r="F332" i="2" s="1"/>
  <c r="J188" i="2"/>
  <c r="J291" i="2"/>
  <c r="G122" i="2"/>
  <c r="Q9" i="1"/>
  <c r="P102" i="1"/>
  <c r="P10" i="1"/>
  <c r="F316" i="2"/>
  <c r="F340" i="2"/>
  <c r="F324" i="2"/>
  <c r="F322" i="2"/>
  <c r="J155" i="2"/>
  <c r="J143" i="2" s="1"/>
  <c r="H113" i="2"/>
  <c r="F264" i="2"/>
  <c r="F272" i="2" s="1"/>
  <c r="F338" i="2"/>
  <c r="J173" i="1"/>
  <c r="F122" i="2"/>
  <c r="H135" i="2"/>
  <c r="J319" i="2"/>
  <c r="H256" i="2"/>
  <c r="F86" i="2"/>
  <c r="G87" i="2"/>
  <c r="G88" i="2"/>
  <c r="P214" i="1"/>
  <c r="P123" i="1"/>
  <c r="Q122" i="1"/>
  <c r="H267" i="2"/>
  <c r="G244" i="2"/>
  <c r="F242" i="2"/>
  <c r="G243" i="2"/>
  <c r="H101" i="2"/>
  <c r="I193" i="1"/>
  <c r="O105" i="1"/>
  <c r="O114" i="1"/>
  <c r="G189" i="2"/>
  <c r="F190" i="2"/>
  <c r="G156" i="2"/>
  <c r="F339" i="2"/>
  <c r="F288" i="2"/>
  <c r="F297" i="2" s="1"/>
  <c r="F295" i="2"/>
  <c r="F294" i="2"/>
  <c r="J202" i="1"/>
  <c r="F116" i="2"/>
  <c r="F92" i="2" s="1"/>
  <c r="F201" i="2"/>
  <c r="F115" i="2"/>
  <c r="I81" i="1"/>
  <c r="G137" i="2"/>
  <c r="I61" i="1"/>
  <c r="F121" i="2"/>
  <c r="P344" i="2"/>
  <c r="O346" i="2"/>
  <c r="J90" i="1"/>
  <c r="G21" i="2"/>
  <c r="G22" i="2" s="1"/>
  <c r="G25" i="2" s="1"/>
  <c r="G28" i="2" s="1"/>
  <c r="H120" i="2"/>
  <c r="I118" i="2"/>
  <c r="H156" i="2"/>
  <c r="I156" i="2"/>
  <c r="I155" i="2"/>
  <c r="I143" i="2" s="1"/>
  <c r="F192" i="2" l="1"/>
  <c r="F93" i="2" s="1"/>
  <c r="F191" i="2"/>
  <c r="J193" i="1"/>
  <c r="I256" i="2"/>
  <c r="G258" i="2"/>
  <c r="P105" i="1"/>
  <c r="P114" i="1"/>
  <c r="J183" i="2"/>
  <c r="G26" i="2"/>
  <c r="H24" i="2" s="1"/>
  <c r="P346" i="2"/>
  <c r="Q344" i="2"/>
  <c r="J81" i="1"/>
  <c r="H189" i="2"/>
  <c r="G190" i="2"/>
  <c r="F243" i="2"/>
  <c r="F244" i="2"/>
  <c r="R122" i="1"/>
  <c r="Q214" i="1"/>
  <c r="Q123" i="1"/>
  <c r="F202" i="2"/>
  <c r="F204" i="2" s="1"/>
  <c r="J156" i="2"/>
  <c r="Q10" i="1"/>
  <c r="Q102" i="1"/>
  <c r="R9" i="1"/>
  <c r="J118" i="2"/>
  <c r="J120" i="2" s="1"/>
  <c r="I120" i="2"/>
  <c r="F124" i="2"/>
  <c r="F110" i="2"/>
  <c r="K219" i="1"/>
  <c r="L219" i="1" s="1"/>
  <c r="M219" i="1" s="1"/>
  <c r="N219" i="1" s="1"/>
  <c r="O219" i="1" s="1"/>
  <c r="P219" i="1" s="1"/>
  <c r="Q219" i="1" s="1"/>
  <c r="R219" i="1" s="1"/>
  <c r="S219" i="1" s="1"/>
  <c r="T219" i="1" s="1"/>
  <c r="I101" i="2"/>
  <c r="F87" i="2"/>
  <c r="F8" i="2" s="1"/>
  <c r="F5" i="2" s="1"/>
  <c r="F88" i="2"/>
  <c r="I113" i="2"/>
  <c r="F248" i="2"/>
  <c r="F250" i="2" s="1"/>
  <c r="H122" i="2"/>
  <c r="H121" i="2"/>
  <c r="H110" i="2" s="1"/>
  <c r="K103" i="1"/>
  <c r="L103" i="1" s="1"/>
  <c r="M103" i="1" s="1"/>
  <c r="N103" i="1" s="1"/>
  <c r="O103" i="1" s="1"/>
  <c r="P103" i="1" s="1"/>
  <c r="Q103" i="1" s="1"/>
  <c r="R103" i="1" s="1"/>
  <c r="S103" i="1" s="1"/>
  <c r="T103" i="1" s="1"/>
  <c r="J61" i="1"/>
  <c r="F210" i="2"/>
  <c r="F109" i="2"/>
  <c r="G283" i="2"/>
  <c r="I267" i="2"/>
  <c r="I135" i="2"/>
  <c r="G310" i="2"/>
  <c r="F95" i="2" l="1"/>
  <c r="J135" i="2"/>
  <c r="J267" i="2"/>
  <c r="H30" i="2"/>
  <c r="J30" i="2"/>
  <c r="F6" i="2"/>
  <c r="F10" i="2" s="1"/>
  <c r="I30" i="2"/>
  <c r="F30" i="2"/>
  <c r="F32" i="2" s="1"/>
  <c r="F35" i="2" s="1"/>
  <c r="G30" i="2"/>
  <c r="R102" i="1"/>
  <c r="R10" i="1"/>
  <c r="S9" i="1"/>
  <c r="F236" i="2"/>
  <c r="Q346" i="2"/>
  <c r="R344" i="2"/>
  <c r="I122" i="2"/>
  <c r="I121" i="2"/>
  <c r="Q105" i="1"/>
  <c r="Q114" i="1" s="1"/>
  <c r="J113" i="2"/>
  <c r="J101" i="2"/>
  <c r="J121" i="2"/>
  <c r="J110" i="2" s="1"/>
  <c r="G191" i="2"/>
  <c r="G180" i="2" s="1"/>
  <c r="G202" i="2"/>
  <c r="H21" i="2"/>
  <c r="H22" i="2" s="1"/>
  <c r="H25" i="2" s="1"/>
  <c r="H28" i="2" s="1"/>
  <c r="H26" i="2"/>
  <c r="I24" i="2" s="1"/>
  <c r="F263" i="2"/>
  <c r="F79" i="2"/>
  <c r="E162" i="2"/>
  <c r="J57" i="2" s="1"/>
  <c r="G103" i="2"/>
  <c r="R214" i="1"/>
  <c r="S122" i="1"/>
  <c r="R123" i="1"/>
  <c r="I189" i="2"/>
  <c r="H190" i="2"/>
  <c r="J256" i="2"/>
  <c r="F180" i="2"/>
  <c r="F194" i="2"/>
  <c r="F212" i="2"/>
  <c r="G173" i="2" l="1"/>
  <c r="J189" i="2"/>
  <c r="J190" i="2" s="1"/>
  <c r="I190" i="2"/>
  <c r="E350" i="2"/>
  <c r="I225" i="2"/>
  <c r="F239" i="2"/>
  <c r="J122" i="2"/>
  <c r="T9" i="1"/>
  <c r="S102" i="1"/>
  <c r="S10" i="1"/>
  <c r="F36" i="2"/>
  <c r="G34" i="2" s="1"/>
  <c r="F38" i="2"/>
  <c r="F45" i="2" s="1"/>
  <c r="F46" i="2" s="1"/>
  <c r="G44" i="2" s="1"/>
  <c r="S123" i="1"/>
  <c r="S214" i="1"/>
  <c r="T122" i="1"/>
  <c r="F335" i="2"/>
  <c r="F265" i="2"/>
  <c r="G262" i="2" s="1"/>
  <c r="I21" i="2"/>
  <c r="I22" i="2" s="1"/>
  <c r="I25" i="2" s="1"/>
  <c r="I28" i="2" s="1"/>
  <c r="F108" i="2"/>
  <c r="H191" i="2"/>
  <c r="H202" i="2"/>
  <c r="F275" i="2"/>
  <c r="G192" i="2"/>
  <c r="G93" i="2" s="1"/>
  <c r="I110" i="2"/>
  <c r="E127" i="2"/>
  <c r="J55" i="2" s="1"/>
  <c r="R346" i="2"/>
  <c r="S344" i="2"/>
  <c r="S346" i="2" s="1"/>
  <c r="R105" i="1"/>
  <c r="R114" i="1"/>
  <c r="F207" i="2" l="1"/>
  <c r="F111" i="2"/>
  <c r="G107" i="2" s="1"/>
  <c r="I222" i="2"/>
  <c r="E281" i="2" s="1"/>
  <c r="F281" i="2" s="1"/>
  <c r="I191" i="2"/>
  <c r="I180" i="2" s="1"/>
  <c r="I202" i="2"/>
  <c r="H180" i="2"/>
  <c r="E197" i="2"/>
  <c r="F129" i="2"/>
  <c r="I26" i="2"/>
  <c r="J24" i="2" s="1"/>
  <c r="T123" i="1"/>
  <c r="E118" i="1" s="1"/>
  <c r="T214" i="1"/>
  <c r="S105" i="1"/>
  <c r="S114" i="1" s="1"/>
  <c r="J355" i="2"/>
  <c r="K353" i="2" s="1"/>
  <c r="F223" i="2"/>
  <c r="J192" i="2"/>
  <c r="J93" i="2" s="1"/>
  <c r="J191" i="2"/>
  <c r="J180" i="2" s="1"/>
  <c r="J202" i="2"/>
  <c r="H192" i="2"/>
  <c r="H93" i="2" s="1"/>
  <c r="G257" i="2"/>
  <c r="G259" i="2" s="1"/>
  <c r="G263" i="2" s="1"/>
  <c r="G268" i="2"/>
  <c r="G41" i="2"/>
  <c r="G42" i="2" s="1"/>
  <c r="G45" i="2" s="1"/>
  <c r="G46" i="2"/>
  <c r="H44" i="2" s="1"/>
  <c r="T10" i="1"/>
  <c r="E5" i="1" s="1"/>
  <c r="T102" i="1"/>
  <c r="G31" i="2"/>
  <c r="G32" i="2" s="1"/>
  <c r="G35" i="2" s="1"/>
  <c r="G38" i="2" s="1"/>
  <c r="H41" i="2" l="1"/>
  <c r="H42" i="2" s="1"/>
  <c r="F141" i="2"/>
  <c r="G281" i="2"/>
  <c r="F284" i="2"/>
  <c r="F287" i="2" s="1"/>
  <c r="G102" i="2"/>
  <c r="G104" i="2" s="1"/>
  <c r="G108" i="2" s="1"/>
  <c r="G114" i="2"/>
  <c r="G269" i="2"/>
  <c r="E306" i="2"/>
  <c r="F306" i="2" s="1"/>
  <c r="G306" i="2" s="1"/>
  <c r="H306" i="2" s="1"/>
  <c r="I306" i="2" s="1"/>
  <c r="J306" i="2" s="1"/>
  <c r="T216" i="1"/>
  <c r="T221" i="1" s="1"/>
  <c r="S233" i="1" s="1"/>
  <c r="S236" i="1" s="1"/>
  <c r="S238" i="1" s="1"/>
  <c r="S215" i="1" s="1"/>
  <c r="S216" i="1" s="1"/>
  <c r="S221" i="1" s="1"/>
  <c r="J56" i="2"/>
  <c r="H60" i="2" s="1"/>
  <c r="I56" i="2"/>
  <c r="T105" i="1"/>
  <c r="E107" i="1" s="1"/>
  <c r="F15" i="1" s="1"/>
  <c r="E108" i="1"/>
  <c r="E224" i="1"/>
  <c r="G335" i="2"/>
  <c r="G275" i="2"/>
  <c r="K357" i="2"/>
  <c r="K354" i="2" s="1"/>
  <c r="K355" i="2"/>
  <c r="L353" i="2" s="1"/>
  <c r="G36" i="2"/>
  <c r="H34" i="2" s="1"/>
  <c r="J21" i="2"/>
  <c r="J22" i="2" s="1"/>
  <c r="J25" i="2" s="1"/>
  <c r="J28" i="2" s="1"/>
  <c r="I192" i="2"/>
  <c r="I93" i="2" s="1"/>
  <c r="F82" i="2" s="1"/>
  <c r="F16" i="1" l="1"/>
  <c r="G15" i="1"/>
  <c r="R233" i="1"/>
  <c r="R236" i="1" s="1"/>
  <c r="R238" i="1" s="1"/>
  <c r="R215" i="1" s="1"/>
  <c r="R216" i="1" s="1"/>
  <c r="R221" i="1" s="1"/>
  <c r="S230" i="1"/>
  <c r="G338" i="2"/>
  <c r="G264" i="2"/>
  <c r="G207" i="2"/>
  <c r="G129" i="2"/>
  <c r="F208" i="2"/>
  <c r="F144" i="2"/>
  <c r="G140" i="2" s="1"/>
  <c r="J26" i="2"/>
  <c r="L357" i="2"/>
  <c r="L354" i="2" s="1"/>
  <c r="L355" i="2" s="1"/>
  <c r="M353" i="2" s="1"/>
  <c r="T114" i="1"/>
  <c r="T230" i="1"/>
  <c r="G270" i="2"/>
  <c r="F165" i="2"/>
  <c r="F178" i="2" s="1"/>
  <c r="E228" i="1"/>
  <c r="F336" i="2"/>
  <c r="F289" i="2"/>
  <c r="G286" i="2" s="1"/>
  <c r="F302" i="2"/>
  <c r="F315" i="2" s="1"/>
  <c r="H45" i="2"/>
  <c r="H46" i="2" s="1"/>
  <c r="I44" i="2" s="1"/>
  <c r="H31" i="2"/>
  <c r="H32" i="2" s="1"/>
  <c r="H35" i="2" s="1"/>
  <c r="H38" i="2" s="1"/>
  <c r="E109" i="1"/>
  <c r="E112" i="1"/>
  <c r="F22" i="1" s="1"/>
  <c r="F24" i="1" s="1"/>
  <c r="G115" i="2"/>
  <c r="H281" i="2"/>
  <c r="M357" i="2" l="1"/>
  <c r="M354" i="2" s="1"/>
  <c r="M355" i="2" s="1"/>
  <c r="N353" i="2" s="1"/>
  <c r="G109" i="2"/>
  <c r="G111" i="2" s="1"/>
  <c r="H107" i="2" s="1"/>
  <c r="G210" i="2"/>
  <c r="G124" i="2"/>
  <c r="F337" i="2"/>
  <c r="F341" i="2" s="1"/>
  <c r="F317" i="2"/>
  <c r="G314" i="2" s="1"/>
  <c r="G116" i="2"/>
  <c r="G282" i="2"/>
  <c r="G284" i="2" s="1"/>
  <c r="G287" i="2" s="1"/>
  <c r="G292" i="2"/>
  <c r="Q233" i="1"/>
  <c r="Q236" i="1" s="1"/>
  <c r="Q238" i="1" s="1"/>
  <c r="Q215" i="1" s="1"/>
  <c r="Q216" i="1" s="1"/>
  <c r="Q221" i="1" s="1"/>
  <c r="R230" i="1"/>
  <c r="I41" i="2"/>
  <c r="I42" i="2" s="1"/>
  <c r="G136" i="2"/>
  <c r="G138" i="2" s="1"/>
  <c r="G141" i="2" s="1"/>
  <c r="G147" i="2"/>
  <c r="I281" i="2"/>
  <c r="H36" i="2"/>
  <c r="I34" i="2" s="1"/>
  <c r="F181" i="2"/>
  <c r="G177" i="2" s="1"/>
  <c r="F209" i="2"/>
  <c r="F213" i="2" s="1"/>
  <c r="G272" i="2"/>
  <c r="G265" i="2"/>
  <c r="H262" i="2" s="1"/>
  <c r="K22" i="1"/>
  <c r="K15" i="1"/>
  <c r="E95" i="1"/>
  <c r="F95" i="1" s="1"/>
  <c r="H15" i="1"/>
  <c r="G14" i="1"/>
  <c r="G208" i="2" l="1"/>
  <c r="G165" i="2"/>
  <c r="N357" i="2"/>
  <c r="N354" i="2" s="1"/>
  <c r="N355" i="2"/>
  <c r="O353" i="2" s="1"/>
  <c r="H14" i="1"/>
  <c r="H16" i="1" s="1"/>
  <c r="I52" i="1"/>
  <c r="K14" i="1"/>
  <c r="J164" i="1"/>
  <c r="F52" i="1"/>
  <c r="F54" i="1" s="1"/>
  <c r="J52" i="1"/>
  <c r="F32" i="1"/>
  <c r="G52" i="1"/>
  <c r="I164" i="1"/>
  <c r="G164" i="1"/>
  <c r="H52" i="1"/>
  <c r="H164" i="1"/>
  <c r="F164" i="1"/>
  <c r="F166" i="1" s="1"/>
  <c r="J281" i="2"/>
  <c r="G148" i="2"/>
  <c r="G293" i="2"/>
  <c r="H257" i="2"/>
  <c r="H268" i="2"/>
  <c r="F96" i="1"/>
  <c r="F97" i="1" s="1"/>
  <c r="G95" i="1"/>
  <c r="H258" i="2"/>
  <c r="P233" i="1"/>
  <c r="P236" i="1" s="1"/>
  <c r="P238" i="1" s="1"/>
  <c r="P215" i="1" s="1"/>
  <c r="P216" i="1" s="1"/>
  <c r="P221" i="1" s="1"/>
  <c r="Q230" i="1"/>
  <c r="H103" i="2"/>
  <c r="G172" i="2"/>
  <c r="G174" i="2" s="1"/>
  <c r="G184" i="2"/>
  <c r="G336" i="2"/>
  <c r="G302" i="2"/>
  <c r="H102" i="2"/>
  <c r="H114" i="2"/>
  <c r="I31" i="2"/>
  <c r="I32" i="2" s="1"/>
  <c r="I35" i="2" s="1"/>
  <c r="I38" i="2" s="1"/>
  <c r="I45" i="2" s="1"/>
  <c r="I46" i="2" s="1"/>
  <c r="J44" i="2" s="1"/>
  <c r="I36" i="2"/>
  <c r="J34" i="2" s="1"/>
  <c r="G309" i="2"/>
  <c r="G311" i="2" s="1"/>
  <c r="G315" i="2" s="1"/>
  <c r="G320" i="2"/>
  <c r="J41" i="2" l="1"/>
  <c r="J42" i="2" s="1"/>
  <c r="G321" i="2"/>
  <c r="H269" i="2"/>
  <c r="G288" i="2"/>
  <c r="G339" i="2"/>
  <c r="G295" i="2"/>
  <c r="G211" i="2"/>
  <c r="G142" i="2"/>
  <c r="G150" i="2"/>
  <c r="G337" i="2"/>
  <c r="H104" i="2"/>
  <c r="H108" i="2" s="1"/>
  <c r="G294" i="2"/>
  <c r="G149" i="2"/>
  <c r="G96" i="1"/>
  <c r="G97" i="1" s="1"/>
  <c r="H95" i="1"/>
  <c r="H259" i="2"/>
  <c r="H263" i="2" s="1"/>
  <c r="F33" i="1"/>
  <c r="E71" i="1" s="1"/>
  <c r="F71" i="1" s="1"/>
  <c r="F34" i="1"/>
  <c r="K16" i="1"/>
  <c r="L15" i="1" s="1"/>
  <c r="E78" i="1" s="1"/>
  <c r="F78" i="1" s="1"/>
  <c r="L14" i="1"/>
  <c r="E58" i="1" s="1"/>
  <c r="F58" i="1" s="1"/>
  <c r="J31" i="2"/>
  <c r="J32" i="2" s="1"/>
  <c r="J35" i="2" s="1"/>
  <c r="J38" i="2" s="1"/>
  <c r="J36" i="2"/>
  <c r="G185" i="2"/>
  <c r="O357" i="2"/>
  <c r="O354" i="2" s="1"/>
  <c r="O355" i="2"/>
  <c r="P353" i="2" s="1"/>
  <c r="H115" i="2"/>
  <c r="G178" i="2"/>
  <c r="O233" i="1"/>
  <c r="O236" i="1" s="1"/>
  <c r="O238" i="1" s="1"/>
  <c r="O215" i="1" s="1"/>
  <c r="O216" i="1" s="1"/>
  <c r="O221" i="1" s="1"/>
  <c r="P230" i="1"/>
  <c r="F45" i="1"/>
  <c r="F46" i="1" s="1"/>
  <c r="F87" i="1"/>
  <c r="F99" i="1"/>
  <c r="G330" i="2"/>
  <c r="G332" i="2" s="1"/>
  <c r="G201" i="2"/>
  <c r="G204" i="2" s="1"/>
  <c r="G73" i="1" l="1"/>
  <c r="N233" i="1"/>
  <c r="N236" i="1" s="1"/>
  <c r="N238" i="1" s="1"/>
  <c r="N215" i="1" s="1"/>
  <c r="N216" i="1" s="1"/>
  <c r="N221" i="1" s="1"/>
  <c r="O230" i="1"/>
  <c r="F59" i="1"/>
  <c r="G58" i="1"/>
  <c r="H207" i="2"/>
  <c r="H129" i="2"/>
  <c r="H111" i="2"/>
  <c r="I107" i="2" s="1"/>
  <c r="H338" i="2"/>
  <c r="H264" i="2"/>
  <c r="H272" i="2" s="1"/>
  <c r="G340" i="2"/>
  <c r="G341" i="2" s="1"/>
  <c r="G316" i="2"/>
  <c r="G317" i="2" s="1"/>
  <c r="H314" i="2" s="1"/>
  <c r="G324" i="2"/>
  <c r="G209" i="2"/>
  <c r="G213" i="2" s="1"/>
  <c r="P357" i="2"/>
  <c r="P354" i="2" s="1"/>
  <c r="P355" i="2" s="1"/>
  <c r="Q353" i="2" s="1"/>
  <c r="G212" i="2"/>
  <c r="G179" i="2"/>
  <c r="G181" i="2" s="1"/>
  <c r="H177" i="2" s="1"/>
  <c r="G194" i="2"/>
  <c r="G78" i="1"/>
  <c r="F79" i="1"/>
  <c r="H335" i="2"/>
  <c r="H275" i="2"/>
  <c r="H265" i="2"/>
  <c r="I262" i="2" s="1"/>
  <c r="H270" i="2"/>
  <c r="G322" i="2"/>
  <c r="G248" i="2" s="1"/>
  <c r="H210" i="2"/>
  <c r="H109" i="2"/>
  <c r="H124" i="2"/>
  <c r="G186" i="2"/>
  <c r="G92" i="2" s="1"/>
  <c r="I95" i="1"/>
  <c r="H96" i="1"/>
  <c r="H97" i="1" s="1"/>
  <c r="G158" i="2"/>
  <c r="G144" i="2"/>
  <c r="H140" i="2" s="1"/>
  <c r="J45" i="2"/>
  <c r="J46" i="2" s="1"/>
  <c r="H116" i="2"/>
  <c r="F56" i="1"/>
  <c r="F62" i="1" s="1"/>
  <c r="G71" i="1"/>
  <c r="F74" i="1"/>
  <c r="G45" i="1"/>
  <c r="G87" i="1"/>
  <c r="G297" i="2"/>
  <c r="G289" i="2"/>
  <c r="H286" i="2" s="1"/>
  <c r="Q357" i="2" l="1"/>
  <c r="Q354" i="2" s="1"/>
  <c r="Q355" i="2" s="1"/>
  <c r="R353" i="2" s="1"/>
  <c r="H172" i="2"/>
  <c r="H184" i="2"/>
  <c r="H137" i="2"/>
  <c r="H309" i="2"/>
  <c r="H320" i="2"/>
  <c r="H282" i="2"/>
  <c r="H284" i="2" s="1"/>
  <c r="H287" i="2" s="1"/>
  <c r="H292" i="2"/>
  <c r="I103" i="2"/>
  <c r="H58" i="1"/>
  <c r="G59" i="1"/>
  <c r="H283" i="2"/>
  <c r="H87" i="1"/>
  <c r="H45" i="1"/>
  <c r="I257" i="2"/>
  <c r="I268" i="2"/>
  <c r="F65" i="1"/>
  <c r="H173" i="2"/>
  <c r="M233" i="1"/>
  <c r="M236" i="1" s="1"/>
  <c r="M238" i="1" s="1"/>
  <c r="M215" i="1" s="1"/>
  <c r="M216" i="1" s="1"/>
  <c r="M221" i="1" s="1"/>
  <c r="N230" i="1"/>
  <c r="I102" i="2"/>
  <c r="I104" i="2" s="1"/>
  <c r="I108" i="2" s="1"/>
  <c r="I114" i="2"/>
  <c r="H71" i="1"/>
  <c r="H136" i="2"/>
  <c r="H138" i="2" s="1"/>
  <c r="H147" i="2"/>
  <c r="I96" i="1"/>
  <c r="I97" i="1" s="1"/>
  <c r="J95" i="1"/>
  <c r="J96" i="1" s="1"/>
  <c r="J97" i="1" s="1"/>
  <c r="G79" i="1"/>
  <c r="H78" i="1"/>
  <c r="H310" i="2"/>
  <c r="I258" i="2"/>
  <c r="H141" i="2"/>
  <c r="H165" i="2"/>
  <c r="H336" i="2" l="1"/>
  <c r="H302" i="2"/>
  <c r="L87" i="1"/>
  <c r="R357" i="2"/>
  <c r="R354" i="2" s="1"/>
  <c r="R355" i="2" s="1"/>
  <c r="S353" i="2" s="1"/>
  <c r="H79" i="1"/>
  <c r="I78" i="1"/>
  <c r="I269" i="2"/>
  <c r="H148" i="2"/>
  <c r="H201" i="2"/>
  <c r="H204" i="2" s="1"/>
  <c r="I71" i="1"/>
  <c r="F114" i="1"/>
  <c r="F68" i="1"/>
  <c r="F76" i="1" s="1"/>
  <c r="F82" i="1" s="1"/>
  <c r="F66" i="1"/>
  <c r="G64" i="1" s="1"/>
  <c r="I115" i="2"/>
  <c r="L233" i="1"/>
  <c r="L236" i="1" s="1"/>
  <c r="L238" i="1" s="1"/>
  <c r="L215" i="1" s="1"/>
  <c r="L216" i="1" s="1"/>
  <c r="L221" i="1" s="1"/>
  <c r="M230" i="1"/>
  <c r="I259" i="2"/>
  <c r="I263" i="2" s="1"/>
  <c r="H293" i="2"/>
  <c r="H330" i="2"/>
  <c r="H332" i="2" s="1"/>
  <c r="H321" i="2"/>
  <c r="H174" i="2"/>
  <c r="H178" i="2" s="1"/>
  <c r="I87" i="1"/>
  <c r="I45" i="1"/>
  <c r="H59" i="1"/>
  <c r="I58" i="1"/>
  <c r="H185" i="2"/>
  <c r="H208" i="2"/>
  <c r="J45" i="1"/>
  <c r="J87" i="1"/>
  <c r="I207" i="2"/>
  <c r="I129" i="2"/>
  <c r="H311" i="2"/>
  <c r="H315" i="2" s="1"/>
  <c r="S357" i="2" l="1"/>
  <c r="S354" i="2" s="1"/>
  <c r="S355" i="2"/>
  <c r="L79" i="1"/>
  <c r="I59" i="1"/>
  <c r="J58" i="1"/>
  <c r="J59" i="1" s="1"/>
  <c r="H339" i="2"/>
  <c r="H288" i="2"/>
  <c r="H295" i="2"/>
  <c r="H211" i="2"/>
  <c r="H142" i="2"/>
  <c r="H150" i="2"/>
  <c r="H340" i="2"/>
  <c r="H316" i="2"/>
  <c r="H317" i="2" s="1"/>
  <c r="I314" i="2" s="1"/>
  <c r="H324" i="2"/>
  <c r="J71" i="1"/>
  <c r="H337" i="2"/>
  <c r="H341" i="2" s="1"/>
  <c r="H212" i="2"/>
  <c r="H179" i="2"/>
  <c r="H181" i="2" s="1"/>
  <c r="I177" i="2" s="1"/>
  <c r="H194" i="2"/>
  <c r="H322" i="2"/>
  <c r="I335" i="2"/>
  <c r="I275" i="2"/>
  <c r="I210" i="2"/>
  <c r="I109" i="2"/>
  <c r="I111" i="2" s="1"/>
  <c r="J107" i="2" s="1"/>
  <c r="I124" i="2"/>
  <c r="I264" i="2"/>
  <c r="I272" i="2" s="1"/>
  <c r="I338" i="2"/>
  <c r="H209" i="2"/>
  <c r="H213" i="2" s="1"/>
  <c r="K233" i="1"/>
  <c r="K236" i="1" s="1"/>
  <c r="K238" i="1" s="1"/>
  <c r="K215" i="1" s="1"/>
  <c r="K216" i="1" s="1"/>
  <c r="K221" i="1" s="1"/>
  <c r="L230" i="1"/>
  <c r="G53" i="1"/>
  <c r="G54" i="1" s="1"/>
  <c r="H294" i="2"/>
  <c r="H248" i="2" s="1"/>
  <c r="H149" i="2"/>
  <c r="I79" i="1"/>
  <c r="J78" i="1"/>
  <c r="J79" i="1" s="1"/>
  <c r="H186" i="2"/>
  <c r="I116" i="2"/>
  <c r="F85" i="1"/>
  <c r="I270" i="2"/>
  <c r="I172" i="2" l="1"/>
  <c r="I184" i="2"/>
  <c r="I309" i="2"/>
  <c r="I320" i="2"/>
  <c r="J103" i="2"/>
  <c r="F88" i="1"/>
  <c r="G84" i="1" s="1"/>
  <c r="J233" i="1"/>
  <c r="J236" i="1" s="1"/>
  <c r="J238" i="1" s="1"/>
  <c r="K230" i="1"/>
  <c r="E223" i="1"/>
  <c r="I173" i="2"/>
  <c r="H158" i="2"/>
  <c r="H144" i="2"/>
  <c r="I140" i="2" s="1"/>
  <c r="H92" i="2"/>
  <c r="J258" i="2"/>
  <c r="I265" i="2"/>
  <c r="J262" i="2" s="1"/>
  <c r="J102" i="2"/>
  <c r="J114" i="2"/>
  <c r="I310" i="2"/>
  <c r="H297" i="2"/>
  <c r="H289" i="2"/>
  <c r="I286" i="2" s="1"/>
  <c r="F128" i="1" l="1"/>
  <c r="E225" i="1"/>
  <c r="F135" i="1" s="1"/>
  <c r="F137" i="1" s="1"/>
  <c r="J257" i="2"/>
  <c r="J259" i="2" s="1"/>
  <c r="J263" i="2" s="1"/>
  <c r="J268" i="2"/>
  <c r="I185" i="2"/>
  <c r="I186" i="2" s="1"/>
  <c r="I282" i="2"/>
  <c r="I292" i="2"/>
  <c r="J104" i="2"/>
  <c r="J108" i="2" s="1"/>
  <c r="I321" i="2"/>
  <c r="J116" i="2"/>
  <c r="J115" i="2"/>
  <c r="I136" i="2"/>
  <c r="I147" i="2"/>
  <c r="I137" i="2"/>
  <c r="I283" i="2"/>
  <c r="G72" i="1"/>
  <c r="G91" i="1"/>
  <c r="G92" i="1" s="1"/>
  <c r="G74" i="1"/>
  <c r="I311" i="2"/>
  <c r="I174" i="2"/>
  <c r="I138" i="2" l="1"/>
  <c r="I141" i="2" s="1"/>
  <c r="I340" i="2"/>
  <c r="I316" i="2"/>
  <c r="I324" i="2"/>
  <c r="I293" i="2"/>
  <c r="I294" i="2" s="1"/>
  <c r="I248" i="2" s="1"/>
  <c r="I330" i="2"/>
  <c r="I332" i="2" s="1"/>
  <c r="I148" i="2"/>
  <c r="I201" i="2"/>
  <c r="I204" i="2" s="1"/>
  <c r="G86" i="1"/>
  <c r="G44" i="1"/>
  <c r="G99" i="1"/>
  <c r="J207" i="2"/>
  <c r="J129" i="2"/>
  <c r="E108" i="2"/>
  <c r="I179" i="2"/>
  <c r="I212" i="2"/>
  <c r="I194" i="2"/>
  <c r="J335" i="2"/>
  <c r="J275" i="2"/>
  <c r="E263" i="2"/>
  <c r="J210" i="2"/>
  <c r="J109" i="2"/>
  <c r="J111" i="2" s="1"/>
  <c r="E126" i="2"/>
  <c r="J124" i="2"/>
  <c r="I322" i="2"/>
  <c r="I284" i="2"/>
  <c r="I287" i="2" s="1"/>
  <c r="J270" i="2"/>
  <c r="J269" i="2"/>
  <c r="F129" i="1"/>
  <c r="G128" i="1"/>
  <c r="I211" i="2" l="1"/>
  <c r="I142" i="2"/>
  <c r="I158" i="2" s="1"/>
  <c r="I150" i="2"/>
  <c r="I149" i="2"/>
  <c r="I92" i="2" s="1"/>
  <c r="J264" i="2"/>
  <c r="J338" i="2"/>
  <c r="E273" i="2"/>
  <c r="J310" i="2"/>
  <c r="I208" i="2"/>
  <c r="I165" i="2"/>
  <c r="I178" i="2" s="1"/>
  <c r="I144" i="2"/>
  <c r="J140" i="2" s="1"/>
  <c r="E207" i="1"/>
  <c r="F207" i="1" s="1"/>
  <c r="H128" i="1"/>
  <c r="G127" i="1"/>
  <c r="K135" i="1"/>
  <c r="K128" i="1"/>
  <c r="L128" i="1" s="1"/>
  <c r="E190" i="1" s="1"/>
  <c r="F190" i="1" s="1"/>
  <c r="I55" i="2"/>
  <c r="E100" i="2"/>
  <c r="F100" i="2" s="1"/>
  <c r="G100" i="2" s="1"/>
  <c r="H100" i="2" s="1"/>
  <c r="I100" i="2" s="1"/>
  <c r="J100" i="2" s="1"/>
  <c r="G46" i="1"/>
  <c r="I339" i="2"/>
  <c r="I288" i="2"/>
  <c r="I297" i="2" s="1"/>
  <c r="I295" i="2"/>
  <c r="I336" i="2"/>
  <c r="I302" i="2"/>
  <c r="I315" i="2" s="1"/>
  <c r="J173" i="2"/>
  <c r="H73" i="1"/>
  <c r="J283" i="2" l="1"/>
  <c r="K127" i="1"/>
  <c r="F145" i="1"/>
  <c r="H127" i="1"/>
  <c r="H129" i="1" s="1"/>
  <c r="I209" i="2"/>
  <c r="I181" i="2"/>
  <c r="J177" i="2" s="1"/>
  <c r="J272" i="2"/>
  <c r="J265" i="2"/>
  <c r="I289" i="2"/>
  <c r="J286" i="2" s="1"/>
  <c r="F191" i="1"/>
  <c r="F194" i="1" s="1"/>
  <c r="F197" i="1" s="1"/>
  <c r="G190" i="1"/>
  <c r="F208" i="1"/>
  <c r="F209" i="1" s="1"/>
  <c r="G207" i="1"/>
  <c r="I213" i="2"/>
  <c r="J137" i="2"/>
  <c r="I337" i="2"/>
  <c r="I341" i="2" s="1"/>
  <c r="I317" i="2"/>
  <c r="J314" i="2" s="1"/>
  <c r="G56" i="1"/>
  <c r="G62" i="1" s="1"/>
  <c r="J136" i="2"/>
  <c r="J138" i="2" s="1"/>
  <c r="J141" i="2" s="1"/>
  <c r="J147" i="2"/>
  <c r="E255" i="2"/>
  <c r="F255" i="2" s="1"/>
  <c r="G255" i="2" s="1"/>
  <c r="H255" i="2" s="1"/>
  <c r="I255" i="2" s="1"/>
  <c r="J255" i="2" s="1"/>
  <c r="G221" i="2"/>
  <c r="J172" i="2" l="1"/>
  <c r="J174" i="2" s="1"/>
  <c r="J184" i="2"/>
  <c r="F146" i="1"/>
  <c r="E183" i="1" s="1"/>
  <c r="F183" i="1" s="1"/>
  <c r="F147" i="1"/>
  <c r="G65" i="1"/>
  <c r="G208" i="1"/>
  <c r="G209" i="1" s="1"/>
  <c r="H207" i="1"/>
  <c r="K129" i="1"/>
  <c r="L127" i="1"/>
  <c r="E170" i="1" s="1"/>
  <c r="F170" i="1" s="1"/>
  <c r="J148" i="2"/>
  <c r="J201" i="2"/>
  <c r="J204" i="2" s="1"/>
  <c r="F157" i="1"/>
  <c r="F158" i="1" s="1"/>
  <c r="F199" i="1"/>
  <c r="F200" i="1" s="1"/>
  <c r="G196" i="1" s="1"/>
  <c r="F211" i="1"/>
  <c r="J282" i="2"/>
  <c r="J284" i="2" s="1"/>
  <c r="J287" i="2" s="1"/>
  <c r="J292" i="2"/>
  <c r="J208" i="2"/>
  <c r="J165" i="2"/>
  <c r="E141" i="2"/>
  <c r="E142" i="2" s="1"/>
  <c r="E143" i="2" s="1"/>
  <c r="J309" i="2"/>
  <c r="J311" i="2" s="1"/>
  <c r="J320" i="2"/>
  <c r="G191" i="1"/>
  <c r="G194" i="1" s="1"/>
  <c r="G197" i="1" s="1"/>
  <c r="H190" i="1"/>
  <c r="G184" i="1" l="1"/>
  <c r="G203" i="1"/>
  <c r="G204" i="1" s="1"/>
  <c r="J321" i="2"/>
  <c r="G68" i="1"/>
  <c r="G76" i="1" s="1"/>
  <c r="G82" i="1" s="1"/>
  <c r="G114" i="1"/>
  <c r="G66" i="1"/>
  <c r="H64" i="1" s="1"/>
  <c r="J178" i="2"/>
  <c r="G185" i="1"/>
  <c r="G211" i="1"/>
  <c r="J211" i="2"/>
  <c r="J142" i="2"/>
  <c r="E161" i="2"/>
  <c r="J150" i="2"/>
  <c r="I207" i="1"/>
  <c r="H208" i="1"/>
  <c r="H209" i="1" s="1"/>
  <c r="H191" i="1"/>
  <c r="H194" i="1" s="1"/>
  <c r="H197" i="1" s="1"/>
  <c r="I190" i="1"/>
  <c r="J293" i="2"/>
  <c r="J330" i="2"/>
  <c r="J332" i="2" s="1"/>
  <c r="J149" i="2"/>
  <c r="G199" i="1"/>
  <c r="G157" i="1"/>
  <c r="F186" i="1"/>
  <c r="G183" i="1"/>
  <c r="J336" i="2"/>
  <c r="J302" i="2"/>
  <c r="J315" i="2" s="1"/>
  <c r="E287" i="2"/>
  <c r="E288" i="2" s="1"/>
  <c r="F168" i="1"/>
  <c r="F171" i="1"/>
  <c r="F174" i="1" s="1"/>
  <c r="G170" i="1"/>
  <c r="J186" i="2"/>
  <c r="J185" i="2"/>
  <c r="J337" i="2" l="1"/>
  <c r="J341" i="2" s="1"/>
  <c r="E315" i="2"/>
  <c r="J317" i="2"/>
  <c r="G186" i="1"/>
  <c r="H183" i="1"/>
  <c r="J92" i="2"/>
  <c r="F81" i="2" s="1"/>
  <c r="F83" i="2" s="1"/>
  <c r="F64" i="2" s="1"/>
  <c r="F66" i="2" s="1"/>
  <c r="I191" i="1"/>
  <c r="I194" i="1" s="1"/>
  <c r="I197" i="1" s="1"/>
  <c r="J190" i="1"/>
  <c r="J191" i="1" s="1"/>
  <c r="J194" i="1" s="1"/>
  <c r="J197" i="1" s="1"/>
  <c r="H185" i="1"/>
  <c r="J209" i="2"/>
  <c r="J213" i="2" s="1"/>
  <c r="E178" i="2"/>
  <c r="G156" i="1"/>
  <c r="G198" i="1"/>
  <c r="G200" i="1" s="1"/>
  <c r="H196" i="1" s="1"/>
  <c r="G171" i="1"/>
  <c r="G174" i="1" s="1"/>
  <c r="G177" i="1" s="1"/>
  <c r="H170" i="1"/>
  <c r="I57" i="2"/>
  <c r="E163" i="2"/>
  <c r="H53" i="1"/>
  <c r="H54" i="1" s="1"/>
  <c r="G85" i="1"/>
  <c r="F177" i="1"/>
  <c r="J339" i="2"/>
  <c r="J288" i="2"/>
  <c r="E299" i="2"/>
  <c r="E300" i="2" s="1"/>
  <c r="G222" i="2" s="1"/>
  <c r="J295" i="2"/>
  <c r="H199" i="1"/>
  <c r="H157" i="1"/>
  <c r="J158" i="2"/>
  <c r="J144" i="2"/>
  <c r="I72" i="2" s="1"/>
  <c r="J316" i="2"/>
  <c r="J340" i="2"/>
  <c r="E326" i="2"/>
  <c r="J324" i="2"/>
  <c r="J212" i="2"/>
  <c r="J179" i="2"/>
  <c r="J181" i="2" s="1"/>
  <c r="E196" i="2"/>
  <c r="E170" i="2" s="1"/>
  <c r="F170" i="2" s="1"/>
  <c r="G170" i="2" s="1"/>
  <c r="H170" i="2" s="1"/>
  <c r="I170" i="2" s="1"/>
  <c r="J170" i="2" s="1"/>
  <c r="J194" i="2"/>
  <c r="J294" i="2"/>
  <c r="J248" i="2" s="1"/>
  <c r="I208" i="1"/>
  <c r="I209" i="1" s="1"/>
  <c r="J207" i="1"/>
  <c r="J208" i="1" s="1"/>
  <c r="J209" i="1" s="1"/>
  <c r="J322" i="2"/>
  <c r="J297" i="2" l="1"/>
  <c r="J289" i="2"/>
  <c r="G230" i="1"/>
  <c r="G180" i="1"/>
  <c r="G188" i="1" s="1"/>
  <c r="I183" i="1"/>
  <c r="H186" i="1"/>
  <c r="G88" i="1"/>
  <c r="H84" i="1" s="1"/>
  <c r="F72" i="2"/>
  <c r="F74" i="2" s="1"/>
  <c r="G60" i="2"/>
  <c r="H184" i="1"/>
  <c r="H203" i="1"/>
  <c r="H204" i="1" s="1"/>
  <c r="J157" i="1"/>
  <c r="J199" i="1"/>
  <c r="G158" i="1"/>
  <c r="I157" i="1"/>
  <c r="I199" i="1"/>
  <c r="E307" i="2"/>
  <c r="F307" i="2" s="1"/>
  <c r="G307" i="2" s="1"/>
  <c r="H307" i="2" s="1"/>
  <c r="I307" i="2" s="1"/>
  <c r="J307" i="2" s="1"/>
  <c r="G223" i="2"/>
  <c r="F229" i="2" s="1"/>
  <c r="F231" i="2" s="1"/>
  <c r="F233" i="2" s="1"/>
  <c r="G225" i="2"/>
  <c r="F225" i="2" s="1"/>
  <c r="F222" i="2" s="1"/>
  <c r="E279" i="2" s="1"/>
  <c r="F279" i="2" s="1"/>
  <c r="G279" i="2" s="1"/>
  <c r="H279" i="2" s="1"/>
  <c r="I279" i="2" s="1"/>
  <c r="J279" i="2" s="1"/>
  <c r="F230" i="1"/>
  <c r="F178" i="1"/>
  <c r="G176" i="1" s="1"/>
  <c r="F180" i="1"/>
  <c r="F188" i="1" s="1"/>
  <c r="I170" i="1"/>
  <c r="H171" i="1"/>
  <c r="H174" i="1" s="1"/>
  <c r="H72" i="1" l="1"/>
  <c r="H91" i="1"/>
  <c r="H92" i="1" s="1"/>
  <c r="H74" i="1"/>
  <c r="H177" i="1"/>
  <c r="G165" i="1"/>
  <c r="G166" i="1" s="1"/>
  <c r="G168" i="1" s="1"/>
  <c r="G178" i="1"/>
  <c r="H176" i="1" s="1"/>
  <c r="I171" i="1"/>
  <c r="I174" i="1" s="1"/>
  <c r="I177" i="1" s="1"/>
  <c r="J170" i="1"/>
  <c r="J171" i="1" s="1"/>
  <c r="J174" i="1" s="1"/>
  <c r="J177" i="1" s="1"/>
  <c r="H198" i="1"/>
  <c r="H200" i="1" s="1"/>
  <c r="I196" i="1" s="1"/>
  <c r="H156" i="1"/>
  <c r="H211" i="1"/>
  <c r="J183" i="1"/>
  <c r="I185" i="1" l="1"/>
  <c r="I186" i="1" s="1"/>
  <c r="H178" i="1"/>
  <c r="I176" i="1" s="1"/>
  <c r="H165" i="1"/>
  <c r="H166" i="1" s="1"/>
  <c r="H168" i="1" s="1"/>
  <c r="H158" i="1"/>
  <c r="H44" i="1"/>
  <c r="H86" i="1"/>
  <c r="H99" i="1"/>
  <c r="I184" i="1"/>
  <c r="I203" i="1"/>
  <c r="I204" i="1" s="1"/>
  <c r="J230" i="1"/>
  <c r="J180" i="1"/>
  <c r="L174" i="1"/>
  <c r="M174" i="1" s="1"/>
  <c r="N174" i="1" s="1"/>
  <c r="I230" i="1"/>
  <c r="I180" i="1"/>
  <c r="H230" i="1"/>
  <c r="E230" i="1" s="1"/>
  <c r="E119" i="1" s="1"/>
  <c r="H180" i="1"/>
  <c r="H188" i="1" s="1"/>
  <c r="K137" i="1"/>
  <c r="L137" i="1" s="1"/>
  <c r="L177" i="1"/>
  <c r="H46" i="1" l="1"/>
  <c r="I178" i="1"/>
  <c r="J176" i="1" s="1"/>
  <c r="I165" i="1"/>
  <c r="I166" i="1" s="1"/>
  <c r="I73" i="1"/>
  <c r="I188" i="1"/>
  <c r="I198" i="1"/>
  <c r="I200" i="1" s="1"/>
  <c r="J196" i="1" s="1"/>
  <c r="I156" i="1"/>
  <c r="I211" i="1"/>
  <c r="J185" i="1" l="1"/>
  <c r="I168" i="1"/>
  <c r="J178" i="1"/>
  <c r="J165" i="1"/>
  <c r="J166" i="1" s="1"/>
  <c r="I158" i="1"/>
  <c r="J184" i="1"/>
  <c r="J203" i="1"/>
  <c r="J204" i="1" s="1"/>
  <c r="J186" i="1"/>
  <c r="J188" i="1" s="1"/>
  <c r="H56" i="1"/>
  <c r="H62" i="1" s="1"/>
  <c r="J156" i="1" l="1"/>
  <c r="J198" i="1"/>
  <c r="J200" i="1" s="1"/>
  <c r="J135" i="1" s="1"/>
  <c r="L135" i="1" s="1"/>
  <c r="H65" i="1"/>
  <c r="J211" i="1"/>
  <c r="H114" i="1" l="1"/>
  <c r="H68" i="1"/>
  <c r="H76" i="1" s="1"/>
  <c r="H82" i="1" s="1"/>
  <c r="H66" i="1"/>
  <c r="I64" i="1" s="1"/>
  <c r="J158" i="1"/>
  <c r="E156" i="1"/>
  <c r="E158" i="1" s="1"/>
  <c r="F160" i="1" l="1"/>
  <c r="J168" i="1"/>
  <c r="H85" i="1"/>
  <c r="I53" i="1"/>
  <c r="I54" i="1" s="1"/>
  <c r="H88" i="1" l="1"/>
  <c r="I84" i="1" s="1"/>
  <c r="F132" i="1"/>
  <c r="F133" i="1"/>
  <c r="I72" i="1" l="1"/>
  <c r="I91" i="1"/>
  <c r="I92" i="1" s="1"/>
  <c r="I74" i="1"/>
  <c r="I44" i="1" l="1"/>
  <c r="I86" i="1"/>
  <c r="I99" i="1"/>
  <c r="J73" i="1" l="1"/>
  <c r="I46" i="1"/>
  <c r="I56" i="1" l="1"/>
  <c r="I62" i="1" s="1"/>
  <c r="I65" i="1" l="1"/>
  <c r="I114" i="1" l="1"/>
  <c r="I68" i="1"/>
  <c r="I76" i="1" s="1"/>
  <c r="I82" i="1" s="1"/>
  <c r="I66" i="1"/>
  <c r="J64" i="1" s="1"/>
  <c r="I85" i="1" l="1"/>
  <c r="J53" i="1"/>
  <c r="J54" i="1" s="1"/>
  <c r="I88" i="1" l="1"/>
  <c r="J84" i="1" s="1"/>
  <c r="J72" i="1" l="1"/>
  <c r="J91" i="1"/>
  <c r="J92" i="1" s="1"/>
  <c r="J74" i="1"/>
  <c r="J86" i="1" l="1"/>
  <c r="L86" i="1" s="1"/>
  <c r="J44" i="1"/>
  <c r="J99" i="1"/>
  <c r="J46" i="1" l="1"/>
  <c r="E44" i="1"/>
  <c r="E46" i="1" s="1"/>
  <c r="F48" i="1" l="1"/>
  <c r="J56" i="1"/>
  <c r="J62" i="1" s="1"/>
  <c r="J65" i="1" l="1"/>
  <c r="L62" i="1"/>
  <c r="M62" i="1" s="1"/>
  <c r="N62" i="1" s="1"/>
  <c r="F19" i="1"/>
  <c r="F20" i="1"/>
  <c r="J136" i="1" l="1"/>
  <c r="L136" i="1" s="1"/>
  <c r="J23" i="1"/>
  <c r="L23" i="1" s="1"/>
  <c r="F26" i="1"/>
  <c r="F139" i="1"/>
  <c r="J114" i="1"/>
  <c r="E114" i="1" s="1"/>
  <c r="E6" i="1" s="1"/>
  <c r="J68" i="1"/>
  <c r="J76" i="1" s="1"/>
  <c r="J82" i="1" s="1"/>
  <c r="L65" i="1"/>
  <c r="J66" i="1"/>
  <c r="J85" i="1" l="1"/>
  <c r="L82" i="1"/>
  <c r="M82" i="1" s="1"/>
  <c r="L85" i="1" l="1"/>
  <c r="L88" i="1" s="1"/>
  <c r="J88" i="1"/>
  <c r="J22" i="1" s="1"/>
  <c r="L22" i="1" s="1"/>
  <c r="K24" i="1"/>
  <c r="L24" i="1" s="1"/>
  <c r="L90" i="1" l="1"/>
  <c r="M88" i="1"/>
</calcChain>
</file>

<file path=xl/comments1.xml><?xml version="1.0" encoding="utf-8"?>
<comments xmlns="http://schemas.openxmlformats.org/spreadsheetml/2006/main">
  <authors>
    <author>Monica Lewinski</author>
  </authors>
  <commentList>
    <comment ref="A1" authorId="0">
      <text>
        <r>
          <rPr>
            <b/>
            <sz val="9"/>
            <color indexed="81"/>
            <rFont val="Tahoma"/>
            <family val="2"/>
          </rPr>
          <t>Monica Lewinski:</t>
        </r>
        <r>
          <rPr>
            <sz val="9"/>
            <color indexed="81"/>
            <rFont val="Tahoma"/>
            <family val="2"/>
          </rPr>
          <t xml:space="preserve">
This demonstrates how to reslove a simple funding cascade with interest on debt that creates a circularity problem.
In any The problem is that part of the funding need may include capitalised interest and fees, but the capitalised interest and fees in turn depend on the amount of debt issued which  must resolve either equity or debt.  
Then, the amount of the residual requirement depends on the interest that is accumulated during the construction period.</t>
        </r>
      </text>
    </comment>
  </commentList>
</comments>
</file>

<file path=xl/comments2.xml><?xml version="1.0" encoding="utf-8"?>
<comments xmlns="http://schemas.openxmlformats.org/spreadsheetml/2006/main">
  <authors>
    <author>Monica Lewinski</author>
  </authors>
  <commentList>
    <comment ref="A1" authorId="0">
      <text>
        <r>
          <rPr>
            <b/>
            <sz val="9"/>
            <color indexed="81"/>
            <rFont val="Tahoma"/>
            <family val="2"/>
          </rPr>
          <t>Monica Lewinski:</t>
        </r>
        <r>
          <rPr>
            <sz val="9"/>
            <color indexed="81"/>
            <rFont val="Tahoma"/>
            <family val="2"/>
          </rPr>
          <t xml:space="preserve">
This demonstrates how to develop a cash flow waterfall for draw downs in the sources and uses of funds analysis.
The first part is very simple and the next parts introduce complications that create an unresolvable circular reference
The general approach is the same as with the cash flow waterfall in the cash flow statement which involves:
   - Setting up accont balances that show the remaining amount to draw
   - Using a lot of sub-total accounts
   - Usning the MIN Function
The second part adds capitalised interest and fees which make the problem much  more difficult.</t>
        </r>
      </text>
    </comment>
    <comment ref="A51" authorId="0">
      <text>
        <r>
          <rPr>
            <b/>
            <sz val="9"/>
            <color indexed="81"/>
            <rFont val="Tahoma"/>
            <family val="2"/>
          </rPr>
          <t>Monica Lewinski:</t>
        </r>
        <r>
          <rPr>
            <sz val="9"/>
            <color indexed="81"/>
            <rFont val="Tahoma"/>
            <family val="2"/>
          </rPr>
          <t xml:space="preserve">
The general approach is to find one incremental tranche of funding.  If the total funding needs including capitalised interest and fees are known, and if there is only one tranche to compute, the alternative funding can be computed.</t>
        </r>
      </text>
    </comment>
    <comment ref="A217" authorId="0">
      <text>
        <r>
          <rPr>
            <b/>
            <sz val="9"/>
            <color indexed="81"/>
            <rFont val="Tahoma"/>
            <family val="2"/>
          </rPr>
          <t>Monica Lewinski:</t>
        </r>
        <r>
          <rPr>
            <sz val="9"/>
            <color indexed="81"/>
            <rFont val="Tahoma"/>
            <family val="2"/>
          </rPr>
          <t xml:space="preserve">
The general approach is to find one incremental tranche of funding.  If the total funding needs including capitalised interest and fees are known, and if there is only one tranche to compute, the alternative funding can be computed.</t>
        </r>
      </text>
    </comment>
  </commentList>
</comments>
</file>

<file path=xl/sharedStrings.xml><?xml version="1.0" encoding="utf-8"?>
<sst xmlns="http://schemas.openxmlformats.org/spreadsheetml/2006/main" count="629" uniqueCount="237">
  <si>
    <t>Contents</t>
  </si>
  <si>
    <t>Project IRR</t>
  </si>
  <si>
    <t>Equity IRR</t>
  </si>
  <si>
    <t>Contruction Expenditure</t>
  </si>
  <si>
    <t>Cash Flow</t>
  </si>
  <si>
    <t>Pre-tax Cash Flow</t>
  </si>
  <si>
    <t>Funding Assumptions</t>
  </si>
  <si>
    <t>Calculate</t>
  </si>
  <si>
    <t>Input</t>
  </si>
  <si>
    <t>Commit</t>
  </si>
  <si>
    <t>Percent</t>
  </si>
  <si>
    <t>Maximum</t>
  </si>
  <si>
    <t xml:space="preserve">Equal </t>
  </si>
  <si>
    <t>Amounts</t>
  </si>
  <si>
    <t>Draw</t>
  </si>
  <si>
    <t>Date of</t>
  </si>
  <si>
    <t>Interest</t>
  </si>
  <si>
    <t>Cap Int</t>
  </si>
  <si>
    <t>DSCR</t>
  </si>
  <si>
    <t>Fee</t>
  </si>
  <si>
    <t>Fee Cap</t>
  </si>
  <si>
    <t>Switch</t>
  </si>
  <si>
    <t>Amount</t>
  </si>
  <si>
    <t>Used</t>
  </si>
  <si>
    <t>of Cap</t>
  </si>
  <si>
    <t>Debt</t>
  </si>
  <si>
    <t>No Cap Int</t>
  </si>
  <si>
    <t>Funding</t>
  </si>
  <si>
    <t>Rate</t>
  </si>
  <si>
    <t>Equity</t>
  </si>
  <si>
    <t>Sr Debt</t>
  </si>
  <si>
    <t>Total</t>
  </si>
  <si>
    <t>Funding Requirements</t>
  </si>
  <si>
    <t>to</t>
  </si>
  <si>
    <t>from</t>
  </si>
  <si>
    <t>Difference</t>
  </si>
  <si>
    <t>difference</t>
  </si>
  <si>
    <t>Checks</t>
  </si>
  <si>
    <t>Ending</t>
  </si>
  <si>
    <t>Computed DSCR</t>
  </si>
  <si>
    <t>Fixed DSCR</t>
  </si>
  <si>
    <t>Draws</t>
  </si>
  <si>
    <t>diff_tot</t>
  </si>
  <si>
    <t>Total Cap Int In Funding</t>
  </si>
  <si>
    <t>Fuding without Capitalised Interest</t>
  </si>
  <si>
    <t>Total Funding with Cap Interest and Fees</t>
  </si>
  <si>
    <t>Total Capital Interest and Fees</t>
  </si>
  <si>
    <t>Total Debt Required</t>
  </si>
  <si>
    <t>Debt without Capitalised Interest</t>
  </si>
  <si>
    <t>Debt Percent</t>
  </si>
  <si>
    <t>Maximum Debt Percent</t>
  </si>
  <si>
    <t>Maximum Debt Amount</t>
  </si>
  <si>
    <t>Step 1: Total Funding</t>
  </si>
  <si>
    <t>Period</t>
  </si>
  <si>
    <t>End of Construction</t>
  </si>
  <si>
    <t>Construction Input</t>
  </si>
  <si>
    <t>Interest on Debt</t>
  </si>
  <si>
    <t>Fees During Construction</t>
  </si>
  <si>
    <t>Total Funding</t>
  </si>
  <si>
    <t>Sum of Total Funding</t>
  </si>
  <si>
    <t>Equity Funding Commitment</t>
  </si>
  <si>
    <t>Available Switch</t>
  </si>
  <si>
    <t>Commitment</t>
  </si>
  <si>
    <t>Funding Already Used</t>
  </si>
  <si>
    <t>Remaining Funding</t>
  </si>
  <si>
    <t>Draws - Priority</t>
  </si>
  <si>
    <t>Draw Percent - Equal</t>
  </si>
  <si>
    <t>Equity Draws - Equal</t>
  </si>
  <si>
    <t>Equal Percent Switch</t>
  </si>
  <si>
    <t>Draws Applied</t>
  </si>
  <si>
    <t>Opening Balance</t>
  </si>
  <si>
    <t>Add: Draws</t>
  </si>
  <si>
    <t>Closing Balance</t>
  </si>
  <si>
    <t>Remaining funding</t>
  </si>
  <si>
    <t>Debt Funding</t>
  </si>
  <si>
    <t>Less: Funding Already Used (OB)</t>
  </si>
  <si>
    <t>Add: Interest Previously Capitalised</t>
  </si>
  <si>
    <t>Add: Captialised Interest</t>
  </si>
  <si>
    <t>Add: Capitalised Fees</t>
  </si>
  <si>
    <t>Interest Rate</t>
  </si>
  <si>
    <t>Interest Accrued</t>
  </si>
  <si>
    <t>Interest Capitalised</t>
  </si>
  <si>
    <t>Fee Percent</t>
  </si>
  <si>
    <t>Base for Fees</t>
  </si>
  <si>
    <t>Fees Computed</t>
  </si>
  <si>
    <t>Fees Capitalised</t>
  </si>
  <si>
    <t>Total Capitalised</t>
  </si>
  <si>
    <t>Debt Sizing</t>
  </si>
  <si>
    <t>CADS</t>
  </si>
  <si>
    <t>Required DSCR</t>
  </si>
  <si>
    <t>Required Debt Service</t>
  </si>
  <si>
    <t>NPV of Debt Service</t>
  </si>
  <si>
    <t>NPV of CADS</t>
  </si>
  <si>
    <t>Ratio</t>
  </si>
  <si>
    <t>Maximum Debt</t>
  </si>
  <si>
    <t>DSCR with  Maximum</t>
  </si>
  <si>
    <t>Equity Cash Flow</t>
  </si>
  <si>
    <t>DSRA</t>
  </si>
  <si>
    <t>to1</t>
  </si>
  <si>
    <t>from1</t>
  </si>
  <si>
    <t>difference1</t>
  </si>
  <si>
    <t>diff_tot1</t>
  </si>
  <si>
    <t>Total Funding with Cap Interest</t>
  </si>
  <si>
    <t>EBITDA</t>
  </si>
  <si>
    <t>Add: Income for DSRA</t>
  </si>
  <si>
    <t>CFADS</t>
  </si>
  <si>
    <t>Next Period DSRA</t>
  </si>
  <si>
    <t>DSRA Percent</t>
  </si>
  <si>
    <t>DSRA Opening Balance</t>
  </si>
  <si>
    <t>DSRA Interest</t>
  </si>
  <si>
    <t>Construction</t>
  </si>
  <si>
    <t>Interest During Construction</t>
  </si>
  <si>
    <t>Interest = (OB + CB)/2 x Rate</t>
  </si>
  <si>
    <t>Interest = (OB x 2+ Construction + Interest)/2 x Rate</t>
  </si>
  <si>
    <t>Interest - Interest/2 x Rate = OB x Rate + Construction/2 x Rate</t>
  </si>
  <si>
    <t>Interest   = (OB x Rate + Construction/2 x Rate)/(1 -Rate/2)</t>
  </si>
  <si>
    <t>Target Debt</t>
  </si>
  <si>
    <t>Actual Debt</t>
  </si>
  <si>
    <t xml:space="preserve">Sub Debt </t>
  </si>
  <si>
    <t>Funding Cascade</t>
  </si>
  <si>
    <t>Construction Input - Financing Needs</t>
  </si>
  <si>
    <t>Accumulated</t>
  </si>
  <si>
    <t>Equity Commitment</t>
  </si>
  <si>
    <t>Equity Already Drawn</t>
  </si>
  <si>
    <t>Remaing Equity to Draw</t>
  </si>
  <si>
    <t>Add: Draws using MIN function</t>
  </si>
  <si>
    <t>Remaing Required Funding</t>
  </si>
  <si>
    <t>Sub Debt Commitment</t>
  </si>
  <si>
    <t>Sub Debt Drawn</t>
  </si>
  <si>
    <t>Remaing Sub Debt to Draw</t>
  </si>
  <si>
    <t>Remaining Funding for Senior</t>
  </si>
  <si>
    <t>Sr Debt Commitment</t>
  </si>
  <si>
    <t>Sr Debt Drawn</t>
  </si>
  <si>
    <t>Remaing Sr Debt to Draw</t>
  </si>
  <si>
    <t>With Capitalised Interest and Fees</t>
  </si>
  <si>
    <t>Increment</t>
  </si>
  <si>
    <t>Single</t>
  </si>
  <si>
    <t>Date</t>
  </si>
  <si>
    <t>Capatilise</t>
  </si>
  <si>
    <t>Order</t>
  </si>
  <si>
    <t>Target</t>
  </si>
  <si>
    <t>Capitalise</t>
  </si>
  <si>
    <t>Max Ratio</t>
  </si>
  <si>
    <t>of</t>
  </si>
  <si>
    <t xml:space="preserve">Fee </t>
  </si>
  <si>
    <t xml:space="preserve">Base </t>
  </si>
  <si>
    <t>in Fund</t>
  </si>
  <si>
    <t>of Debt</t>
  </si>
  <si>
    <t>Annuity</t>
  </si>
  <si>
    <t>Tranche</t>
  </si>
  <si>
    <t>Portion</t>
  </si>
  <si>
    <t>Cascade</t>
  </si>
  <si>
    <t>Senior</t>
  </si>
  <si>
    <t>to Cap</t>
  </si>
  <si>
    <t>Repay</t>
  </si>
  <si>
    <t>Sub Debt</t>
  </si>
  <si>
    <t>Senior Debt</t>
  </si>
  <si>
    <t>VAT Facility</t>
  </si>
  <si>
    <t>Max Iterations</t>
  </si>
  <si>
    <t>max_iter</t>
  </si>
  <si>
    <t>Total Funding Computed</t>
  </si>
  <si>
    <t>funding_from</t>
  </si>
  <si>
    <t>Total Funding Input</t>
  </si>
  <si>
    <t>funding_input</t>
  </si>
  <si>
    <t>funding_difference</t>
  </si>
  <si>
    <t>Sub Debt Computed (Balance)</t>
  </si>
  <si>
    <t>sub_debt_from</t>
  </si>
  <si>
    <t>Sub Debt Input</t>
  </si>
  <si>
    <t>sub_debt_to</t>
  </si>
  <si>
    <t>sub_debt_difference</t>
  </si>
  <si>
    <t>Senior Base Funding Computed</t>
  </si>
  <si>
    <t>senior_from</t>
  </si>
  <si>
    <t>Senior Base Fixed</t>
  </si>
  <si>
    <t>senior_to</t>
  </si>
  <si>
    <t>senior_difference</t>
  </si>
  <si>
    <t>Total Difference</t>
  </si>
  <si>
    <t>total_difference</t>
  </si>
  <si>
    <t xml:space="preserve"> </t>
  </si>
  <si>
    <t>DSRA Pre-funding</t>
  </si>
  <si>
    <t>Interest Paid</t>
  </si>
  <si>
    <t>Fees Paid</t>
  </si>
  <si>
    <t>Construction Period</t>
  </si>
  <si>
    <t>Total Funding Requirement</t>
  </si>
  <si>
    <t>Add: Interest Paid</t>
  </si>
  <si>
    <t>Add: Fees Paid</t>
  </si>
  <si>
    <t>Total Cash Funding</t>
  </si>
  <si>
    <t>First Tranche</t>
  </si>
  <si>
    <t>Total Commitment Incl Cap Int</t>
  </si>
  <si>
    <t>Less: Total Capitalised Interest and Fees</t>
  </si>
  <si>
    <t>Sub-total to Use for Cash Funding</t>
  </si>
  <si>
    <t>Less: Amount Already Drawn</t>
  </si>
  <si>
    <t>Plus: Used for Fees and Cap Int</t>
  </si>
  <si>
    <t>Remaining Amount to Draw</t>
  </si>
  <si>
    <t>Add: Cap Int</t>
  </si>
  <si>
    <t>Add: Cap Fees</t>
  </si>
  <si>
    <t>Total Balance</t>
  </si>
  <si>
    <t>Total Fees</t>
  </si>
  <si>
    <t>Accumulated Cap Int and Fee</t>
  </si>
  <si>
    <t>Total Cap Interest</t>
  </si>
  <si>
    <t>Total Cap Fees</t>
  </si>
  <si>
    <t>Remaing Cash Required Funding After First Tranche</t>
  </si>
  <si>
    <t>Second Tranche</t>
  </si>
  <si>
    <t>Total Commitment</t>
  </si>
  <si>
    <t>Less: Used for Cap Int and Fees</t>
  </si>
  <si>
    <t>Total for Draws</t>
  </si>
  <si>
    <t>Less: Amount Drawn (OB)</t>
  </si>
  <si>
    <t>Add: Funding Outflows</t>
  </si>
  <si>
    <t>Add: Captitalised Interest</t>
  </si>
  <si>
    <t>Capitalised Interest</t>
  </si>
  <si>
    <t>Accumulated Cap Interest</t>
  </si>
  <si>
    <t>Capitalised Interst and Fees</t>
  </si>
  <si>
    <t>Accumulated Fees</t>
  </si>
  <si>
    <t>Total Interest Capitalsied</t>
  </si>
  <si>
    <t>Total Fees Capitalised</t>
  </si>
  <si>
    <t>Remaining Cash Requirements after Second Tranche</t>
  </si>
  <si>
    <t>Third Tranche</t>
  </si>
  <si>
    <t>Int = OB x Rate</t>
  </si>
  <si>
    <t>OB = CB - Int - Draws - Fees</t>
  </si>
  <si>
    <t>Int = (CB - Int - Draws - Fees) x Rate</t>
  </si>
  <si>
    <t>Int + Int x Rate = (CB - Draws - Fees) x Rate</t>
  </si>
  <si>
    <t>Int x (1+Rate) = (CB - Draws - Fees) x Rate</t>
  </si>
  <si>
    <t>Int = (CB- Draws - Fees) x Rate/(1+Rate)</t>
  </si>
  <si>
    <t>Uses of Funds - Funding Requirements</t>
  </si>
  <si>
    <t>Fees</t>
  </si>
  <si>
    <t>Pre-funding of DSRA</t>
  </si>
  <si>
    <t>Sources of Funds</t>
  </si>
  <si>
    <t>With Capitalised Interest Only</t>
  </si>
  <si>
    <t>mx_iter</t>
  </si>
  <si>
    <t>sr_from</t>
  </si>
  <si>
    <t>sr_to</t>
  </si>
  <si>
    <t>sr_diff</t>
  </si>
  <si>
    <t>tot_diff</t>
  </si>
  <si>
    <t>Capitalised Interest and Fees</t>
  </si>
  <si>
    <t>NPV</t>
  </si>
  <si>
    <t>Debt Balance</t>
  </si>
  <si>
    <t>Less: Repayments</t>
  </si>
  <si>
    <t>Interest Expense</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</si>
</sst>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8" formatCode="&quot;$&quot;#,##0.00_);[Red]\(&quot;$&quot;#,##0.00\)"/>
    <numFmt numFmtId="43" formatCode="_(* #,##0.00_);_(* \(#,##0.00\);_(* &quot;-&quot;??_);_(@_)"/>
    <numFmt numFmtId="164" formatCode="0.0%"/>
    <numFmt numFmtId="165" formatCode="0.000"/>
    <numFmt numFmtId="166" formatCode="#,##0.000"/>
    <numFmt numFmtId="167" formatCode="#,##0.000_);[Red]\(#,##0.000\);\-_)"/>
    <numFmt numFmtId="168" formatCode="#,##0_);[Red]\(#,##0\);\-_0_)"/>
  </numFmts>
  <fonts count="15" x14ac:knownFonts="1">
    <font>
      <sz val="11"/>
      <color theme="1"/>
      <name val="Calibri"/>
      <family val="2"/>
      <scheme val="minor"/>
    </font>
    <font>
      <sz val="11"/>
      <color theme="1"/>
      <name val="Calibri"/>
      <family val="2"/>
      <scheme val="minor"/>
    </font>
    <font>
      <sz val="8"/>
      <name val="Tahoma"/>
      <family val="2"/>
    </font>
    <font>
      <u/>
      <sz val="11"/>
      <color theme="10"/>
      <name val="Calibri"/>
      <family val="2"/>
      <scheme val="minor"/>
    </font>
    <font>
      <u/>
      <sz val="11"/>
      <name val="Calibri"/>
      <family val="2"/>
      <scheme val="minor"/>
    </font>
    <font>
      <sz val="11"/>
      <name val="Calibri"/>
      <family val="2"/>
      <scheme val="minor"/>
    </font>
    <font>
      <sz val="11"/>
      <color rgb="FF0070C0"/>
      <name val="Calibri"/>
      <family val="2"/>
      <scheme val="minor"/>
    </font>
    <font>
      <b/>
      <sz val="9"/>
      <color indexed="81"/>
      <name val="Tahoma"/>
      <family val="2"/>
    </font>
    <font>
      <sz val="9"/>
      <color indexed="81"/>
      <name val="Tahoma"/>
      <family val="2"/>
    </font>
    <font>
      <sz val="11"/>
      <color rgb="FF002060"/>
      <name val="Calibri"/>
      <family val="2"/>
      <scheme val="minor"/>
    </font>
    <font>
      <sz val="11"/>
      <color rgb="FF0045D0"/>
      <name val="Calibri"/>
      <family val="2"/>
      <scheme val="minor"/>
    </font>
    <font>
      <sz val="11"/>
      <color indexed="8"/>
      <name val="Calibri"/>
      <family val="2"/>
    </font>
    <font>
      <sz val="10"/>
      <name val="Arial"/>
      <family val="2"/>
    </font>
    <font>
      <u/>
      <sz val="10"/>
      <color indexed="12"/>
      <name val="Arial"/>
      <family val="2"/>
    </font>
    <font>
      <i/>
      <sz val="10"/>
      <name val="Arial"/>
      <family val="2"/>
    </font>
  </fonts>
  <fills count="5">
    <fill>
      <patternFill patternType="none"/>
    </fill>
    <fill>
      <patternFill patternType="gray125"/>
    </fill>
    <fill>
      <patternFill patternType="solid">
        <fgColor rgb="FFFFFF00"/>
        <bgColor indexed="64"/>
      </patternFill>
    </fill>
    <fill>
      <patternFill patternType="solid">
        <fgColor theme="1"/>
        <bgColor indexed="64"/>
      </patternFill>
    </fill>
    <fill>
      <patternFill patternType="solid">
        <fgColor rgb="FF00B050"/>
        <bgColor indexed="64"/>
      </patternFill>
    </fill>
  </fills>
  <borders count="9">
    <border>
      <left/>
      <right/>
      <top/>
      <bottom/>
      <diagonal/>
    </border>
    <border>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medium">
        <color indexed="64"/>
      </bottom>
      <diagonal/>
    </border>
  </borders>
  <cellStyleXfs count="12">
    <xf numFmtId="0" fontId="0" fillId="0" borderId="0"/>
    <xf numFmtId="0" fontId="3" fillId="0" borderId="0" applyNumberForma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2" fillId="0" borderId="0" applyFont="0" applyFill="0" applyBorder="0" applyAlignment="0" applyProtection="0"/>
    <xf numFmtId="0" fontId="13" fillId="0" borderId="0" applyNumberFormat="0" applyFill="0" applyBorder="0" applyAlignment="0" applyProtection="0">
      <alignment vertical="top"/>
      <protection locked="0"/>
    </xf>
    <xf numFmtId="0" fontId="12" fillId="0" borderId="0"/>
    <xf numFmtId="0" fontId="12" fillId="0" borderId="0"/>
    <xf numFmtId="167" fontId="12" fillId="0" borderId="0"/>
    <xf numFmtId="168" fontId="14" fillId="0" borderId="0" applyFont="0">
      <alignment horizontal="right"/>
    </xf>
    <xf numFmtId="9" fontId="1" fillId="0" borderId="0" applyFont="0" applyFill="0" applyBorder="0" applyAlignment="0" applyProtection="0"/>
    <xf numFmtId="9" fontId="12" fillId="0" borderId="0" applyFont="0" applyFill="0" applyBorder="0" applyAlignment="0" applyProtection="0"/>
  </cellStyleXfs>
  <cellXfs count="51">
    <xf numFmtId="0" fontId="0" fillId="0" borderId="0" xfId="0"/>
    <xf numFmtId="0" fontId="4" fillId="0" borderId="0" xfId="1" applyFont="1"/>
    <xf numFmtId="0" fontId="5" fillId="0" borderId="0" xfId="0" applyFont="1"/>
    <xf numFmtId="10" fontId="5" fillId="0" borderId="0" xfId="0" applyNumberFormat="1" applyFont="1"/>
    <xf numFmtId="4" fontId="5" fillId="0" borderId="0" xfId="0" applyNumberFormat="1" applyFont="1"/>
    <xf numFmtId="4" fontId="6" fillId="0" borderId="0" xfId="0" applyNumberFormat="1" applyFont="1" applyBorder="1"/>
    <xf numFmtId="4" fontId="6" fillId="0" borderId="0" xfId="0" applyNumberFormat="1" applyFont="1"/>
    <xf numFmtId="0" fontId="5" fillId="0" borderId="0" xfId="0" applyFont="1" applyAlignment="1">
      <alignment horizontal="center"/>
    </xf>
    <xf numFmtId="0" fontId="6" fillId="0" borderId="0" xfId="0" applyFont="1"/>
    <xf numFmtId="164" fontId="5" fillId="0" borderId="0" xfId="0" applyNumberFormat="1" applyFont="1"/>
    <xf numFmtId="9" fontId="6" fillId="0" borderId="0" xfId="0" applyNumberFormat="1" applyFont="1"/>
    <xf numFmtId="0" fontId="5" fillId="0" borderId="1" xfId="0" applyFont="1" applyBorder="1"/>
    <xf numFmtId="4" fontId="5" fillId="0" borderId="1" xfId="0" applyNumberFormat="1" applyFont="1" applyBorder="1"/>
    <xf numFmtId="4" fontId="6" fillId="2" borderId="0" xfId="0" applyNumberFormat="1" applyFont="1" applyFill="1"/>
    <xf numFmtId="9" fontId="5" fillId="0" borderId="0" xfId="0" applyNumberFormat="1" applyFont="1"/>
    <xf numFmtId="0" fontId="5" fillId="0" borderId="0" xfId="0" applyFont="1" applyBorder="1"/>
    <xf numFmtId="4" fontId="5" fillId="0" borderId="0" xfId="0" applyNumberFormat="1" applyFont="1" applyBorder="1"/>
    <xf numFmtId="0" fontId="5" fillId="0" borderId="0" xfId="0" applyFont="1" applyFill="1" applyBorder="1"/>
    <xf numFmtId="0" fontId="5" fillId="0" borderId="1" xfId="0" applyFont="1" applyFill="1" applyBorder="1"/>
    <xf numFmtId="0" fontId="5" fillId="0" borderId="2" xfId="0" applyFont="1" applyBorder="1"/>
    <xf numFmtId="0" fontId="5" fillId="0" borderId="3" xfId="0" applyFont="1" applyBorder="1"/>
    <xf numFmtId="4" fontId="5" fillId="0" borderId="3" xfId="0" applyNumberFormat="1" applyFont="1" applyBorder="1"/>
    <xf numFmtId="8" fontId="5" fillId="0" borderId="0" xfId="0" applyNumberFormat="1" applyFont="1"/>
    <xf numFmtId="0" fontId="5" fillId="3" borderId="0" xfId="0" applyFont="1" applyFill="1"/>
    <xf numFmtId="165" fontId="5" fillId="0" borderId="0" xfId="0" applyNumberFormat="1" applyFont="1"/>
    <xf numFmtId="166" fontId="5" fillId="0" borderId="0" xfId="0" applyNumberFormat="1" applyFont="1"/>
    <xf numFmtId="0" fontId="3" fillId="0" borderId="0" xfId="1"/>
    <xf numFmtId="0" fontId="0" fillId="0" borderId="1" xfId="0" applyBorder="1"/>
    <xf numFmtId="0" fontId="9" fillId="0" borderId="1" xfId="0" applyFont="1" applyBorder="1"/>
    <xf numFmtId="0" fontId="0" fillId="0" borderId="4" xfId="0" applyBorder="1"/>
    <xf numFmtId="0" fontId="0" fillId="0" borderId="5" xfId="0" applyBorder="1"/>
    <xf numFmtId="0" fontId="0" fillId="0" borderId="6" xfId="0" applyBorder="1"/>
    <xf numFmtId="0" fontId="0" fillId="3" borderId="0" xfId="0" applyFill="1"/>
    <xf numFmtId="0" fontId="0" fillId="0" borderId="0" xfId="0" applyAlignment="1">
      <alignment horizontal="center"/>
    </xf>
    <xf numFmtId="4" fontId="10" fillId="0" borderId="0" xfId="0" applyNumberFormat="1" applyFont="1"/>
    <xf numFmtId="4" fontId="0" fillId="0" borderId="0" xfId="0" applyNumberFormat="1"/>
    <xf numFmtId="9" fontId="0" fillId="0" borderId="0" xfId="0" applyNumberFormat="1"/>
    <xf numFmtId="4" fontId="0" fillId="0" borderId="7" xfId="0" applyNumberFormat="1" applyBorder="1"/>
    <xf numFmtId="4" fontId="10" fillId="0" borderId="0" xfId="0" applyNumberFormat="1" applyFont="1" applyFill="1"/>
    <xf numFmtId="4" fontId="5" fillId="0" borderId="7" xfId="0" applyNumberFormat="1" applyFont="1" applyFill="1" applyBorder="1"/>
    <xf numFmtId="4" fontId="5" fillId="0" borderId="0" xfId="0" applyNumberFormat="1" applyFont="1" applyFill="1" applyBorder="1"/>
    <xf numFmtId="4" fontId="0" fillId="2" borderId="0" xfId="0" applyNumberFormat="1" applyFill="1"/>
    <xf numFmtId="4" fontId="0" fillId="4" borderId="0" xfId="0" applyNumberFormat="1" applyFill="1"/>
    <xf numFmtId="4" fontId="0" fillId="0" borderId="0" xfId="0" applyNumberFormat="1" applyFill="1"/>
    <xf numFmtId="4" fontId="0" fillId="0" borderId="1" xfId="0" applyNumberFormat="1" applyBorder="1"/>
    <xf numFmtId="0" fontId="0" fillId="0" borderId="7" xfId="0" applyBorder="1"/>
    <xf numFmtId="4" fontId="0" fillId="0" borderId="5" xfId="0" applyNumberFormat="1" applyBorder="1"/>
    <xf numFmtId="4" fontId="0" fillId="0" borderId="6" xfId="0" applyNumberFormat="1" applyBorder="1"/>
    <xf numFmtId="0" fontId="0" fillId="0" borderId="8" xfId="0" applyBorder="1"/>
    <xf numFmtId="4" fontId="0" fillId="0" borderId="8" xfId="0" applyNumberFormat="1" applyBorder="1"/>
    <xf numFmtId="4" fontId="0" fillId="0" borderId="0" xfId="0" applyNumberFormat="1" applyBorder="1"/>
  </cellXfs>
  <cellStyles count="12">
    <cellStyle name="Comma 2" xfId="2"/>
    <cellStyle name="Comma 3" xfId="3"/>
    <cellStyle name="Comma 4" xfId="4"/>
    <cellStyle name="Hyperlink" xfId="1" builtinId="8"/>
    <cellStyle name="Hyperlink 2" xfId="5"/>
    <cellStyle name="Normal" xfId="0" builtinId="0"/>
    <cellStyle name="Normal 2" xfId="6"/>
    <cellStyle name="Normal 3" xfId="7"/>
    <cellStyle name="Operis ratio" xfId="8"/>
    <cellStyle name="Operis working" xfId="9"/>
    <cellStyle name="Percent 2" xfId="10"/>
    <cellStyle name="Percent 3"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fmlaLink="comment" lockText="1" noThreeD="1"/>
</file>

<file path=xl/ctrlProps/ctrlProp10.xml><?xml version="1.0" encoding="utf-8"?>
<formControlPr xmlns="http://schemas.microsoft.com/office/spreadsheetml/2009/9/main" objectType="CheckBox" checked="Checked" fmlaLink="'Funding Cascade'!$O$56" lockText="1" noThreeD="1"/>
</file>

<file path=xl/ctrlProps/ctrlProp11.xml><?xml version="1.0" encoding="utf-8"?>
<formControlPr xmlns="http://schemas.microsoft.com/office/spreadsheetml/2009/9/main" objectType="CheckBox" checked="Checked" fmlaLink="'Funding Cascade'!$P$56" lockText="1" noThreeD="1"/>
</file>

<file path=xl/ctrlProps/ctrlProp12.xml><?xml version="1.0" encoding="utf-8"?>
<formControlPr xmlns="http://schemas.microsoft.com/office/spreadsheetml/2009/9/main" objectType="CheckBox" checked="Checked" fmlaLink="'Funding Cascade'!$P$56" lockText="1" noThreeD="1"/>
</file>

<file path=xl/ctrlProps/ctrlProp13.xml><?xml version="1.0" encoding="utf-8"?>
<formControlPr xmlns="http://schemas.microsoft.com/office/spreadsheetml/2009/9/main" objectType="CheckBox" checked="Checked" fmlaLink="'Funding Cascade'!$O$56" lockText="1" noThreeD="1"/>
</file>

<file path=xl/ctrlProps/ctrlProp14.xml><?xml version="1.0" encoding="utf-8"?>
<formControlPr xmlns="http://schemas.microsoft.com/office/spreadsheetml/2009/9/main" objectType="CheckBox" checked="Checked" fmlaLink="'Funding Cascade'!$P$56" lockText="1" noThreeD="1"/>
</file>

<file path=xl/ctrlProps/ctrlProp15.xml><?xml version="1.0" encoding="utf-8"?>
<formControlPr xmlns="http://schemas.microsoft.com/office/spreadsheetml/2009/9/main" objectType="CheckBox" checked="Checked" fmlaLink="'Funding Cascade'!$O$56" lockText="1" noThreeD="1"/>
</file>

<file path=xl/ctrlProps/ctrlProp16.xml><?xml version="1.0" encoding="utf-8"?>
<formControlPr xmlns="http://schemas.microsoft.com/office/spreadsheetml/2009/9/main" objectType="CheckBox" checked="Checked" fmlaLink="'Funding Cascade'!$P$56" lockText="1" noThreeD="1"/>
</file>

<file path=xl/ctrlProps/ctrlProp17.xml><?xml version="1.0" encoding="utf-8"?>
<formControlPr xmlns="http://schemas.microsoft.com/office/spreadsheetml/2009/9/main" objectType="Button" lockText="1"/>
</file>

<file path=xl/ctrlProps/ctrlProp18.xml><?xml version="1.0" encoding="utf-8"?>
<formControlPr xmlns="http://schemas.microsoft.com/office/spreadsheetml/2009/9/main" objectType="CheckBox" checked="Checked" fmlaLink="'Funding Cascade'!$O$56" lockText="1" noThreeD="1"/>
</file>

<file path=xl/ctrlProps/ctrlProp19.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CheckBox" checked="Checked" fmlaLink="'Funding Circularity'!$E$14" lockText="1" noThreeD="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CheckBox" fmlaLink="comment" lockText="1" noThreeD="1"/>
</file>

<file path=xl/ctrlProps/ctrlProp6.xml><?xml version="1.0" encoding="utf-8"?>
<formControlPr xmlns="http://schemas.microsoft.com/office/spreadsheetml/2009/9/main" objectType="CheckBox" checked="Checked" fmlaLink="'Funding Circularity'!$E$14" lockText="1" noThreeD="1"/>
</file>

<file path=xl/ctrlProps/ctrlProp7.xml><?xml version="1.0" encoding="utf-8"?>
<formControlPr xmlns="http://schemas.microsoft.com/office/spreadsheetml/2009/9/main" objectType="CheckBox" fmlaLink="comment" lockText="1" noThreeD="1"/>
</file>

<file path=xl/ctrlProps/ctrlProp8.xml><?xml version="1.0" encoding="utf-8"?>
<formControlPr xmlns="http://schemas.microsoft.com/office/spreadsheetml/2009/9/main" objectType="CheckBox" fmlaLink="comment" lockText="1" noThreeD="1"/>
</file>

<file path=xl/ctrlProps/ctrlProp9.xml><?xml version="1.0" encoding="utf-8"?>
<formControlPr xmlns="http://schemas.microsoft.com/office/spreadsheetml/2009/9/main" objectType="CheckBox" checked="Checked" fmlaLink="'Funding Cascade'!$O$56"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409575</xdr:colOff>
          <xdr:row>25</xdr:row>
          <xdr:rowOff>66675</xdr:rowOff>
        </xdr:from>
        <xdr:to>
          <xdr:col>14</xdr:col>
          <xdr:colOff>76200</xdr:colOff>
          <xdr:row>26</xdr:row>
          <xdr:rowOff>171450</xdr:rowOff>
        </xdr:to>
        <xdr:sp macro="" textlink="">
          <xdr:nvSpPr>
            <xdr:cNvPr id="1025" name="Check Box 1" hidden="1">
              <a:extLst>
                <a:ext uri="{63B3BB69-23CF-44E3-9099-C40C66FF867C}">
                  <a14:compatExt spid="_x0000_s10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JM" sz="800" b="0" i="0" u="none" strike="noStrike" baseline="0">
                  <a:solidFill>
                    <a:srgbClr val="000000"/>
                  </a:solidFill>
                  <a:latin typeface="Tahoma"/>
                  <a:ea typeface="Tahoma"/>
                  <a:cs typeface="Tahoma"/>
                </a:rPr>
                <a:t>Comment</a:t>
              </a:r>
            </a:p>
          </xdr:txBody>
        </xdr:sp>
        <xdr:clientData/>
      </xdr:twoCellAnchor>
    </mc:Choice>
    <mc:Fallback/>
  </mc:AlternateContent>
  <mc:AlternateContent xmlns:mc="http://schemas.openxmlformats.org/markup-compatibility/2006">
    <mc:Choice xmlns:a14="http://schemas.microsoft.com/office/drawing/2010/main" Requires="a14">
      <xdr:twoCellAnchor>
        <xdr:from>
          <xdr:col>8</xdr:col>
          <xdr:colOff>47625</xdr:colOff>
          <xdr:row>0</xdr:row>
          <xdr:rowOff>57150</xdr:rowOff>
        </xdr:from>
        <xdr:to>
          <xdr:col>9</xdr:col>
          <xdr:colOff>276225</xdr:colOff>
          <xdr:row>1</xdr:row>
          <xdr:rowOff>123825</xdr:rowOff>
        </xdr:to>
        <xdr:sp macro="" textlink="">
          <xdr:nvSpPr>
            <xdr:cNvPr id="1026" name="Button 2" hidden="1">
              <a:extLst>
                <a:ext uri="{63B3BB69-23CF-44E3-9099-C40C66FF867C}">
                  <a14:compatExt spid="_x0000_s1026"/>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JM" sz="1100" b="0" i="0" u="none" strike="noStrike" baseline="0">
                  <a:solidFill>
                    <a:srgbClr val="000000"/>
                  </a:solidFill>
                  <a:latin typeface="Calibri"/>
                  <a:cs typeface="Calibri"/>
                </a:rPr>
                <a:t>Optimise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1619250</xdr:colOff>
          <xdr:row>13</xdr:row>
          <xdr:rowOff>0</xdr:rowOff>
        </xdr:from>
        <xdr:to>
          <xdr:col>3</xdr:col>
          <xdr:colOff>1924050</xdr:colOff>
          <xdr:row>14</xdr:row>
          <xdr:rowOff>28575</xdr:rowOff>
        </xdr:to>
        <xdr:sp macro="" textlink="">
          <xdr:nvSpPr>
            <xdr:cNvPr id="1027" name="Check Box 3" hidden="1">
              <a:extLst>
                <a:ext uri="{63B3BB69-23CF-44E3-9099-C40C66FF867C}">
                  <a14:compatExt spid="_x0000_s10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28575</xdr:colOff>
          <xdr:row>0</xdr:row>
          <xdr:rowOff>38100</xdr:rowOff>
        </xdr:from>
        <xdr:to>
          <xdr:col>12</xdr:col>
          <xdr:colOff>495300</xdr:colOff>
          <xdr:row>1</xdr:row>
          <xdr:rowOff>123825</xdr:rowOff>
        </xdr:to>
        <xdr:sp macro="" textlink="">
          <xdr:nvSpPr>
            <xdr:cNvPr id="1028" name="Button 4" hidden="1">
              <a:extLst>
                <a:ext uri="{63B3BB69-23CF-44E3-9099-C40C66FF867C}">
                  <a14:compatExt spid="_x0000_s1028"/>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JM" sz="1100" b="0" i="0" u="none" strike="noStrike" baseline="0">
                  <a:solidFill>
                    <a:srgbClr val="000000"/>
                  </a:solidFill>
                  <a:latin typeface="Calibri"/>
                  <a:cs typeface="Calibri"/>
                </a:rPr>
                <a:t>Colour Inputs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409575</xdr:colOff>
          <xdr:row>138</xdr:row>
          <xdr:rowOff>66675</xdr:rowOff>
        </xdr:from>
        <xdr:to>
          <xdr:col>14</xdr:col>
          <xdr:colOff>76200</xdr:colOff>
          <xdr:row>139</xdr:row>
          <xdr:rowOff>171450</xdr:rowOff>
        </xdr:to>
        <xdr:sp macro="" textlink="">
          <xdr:nvSpPr>
            <xdr:cNvPr id="1029" name="Check Box 5" hidden="1">
              <a:extLst>
                <a:ext uri="{63B3BB69-23CF-44E3-9099-C40C66FF867C}">
                  <a14:compatExt spid="_x0000_s102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JM" sz="800" b="0" i="0" u="none" strike="noStrike" baseline="0">
                  <a:solidFill>
                    <a:srgbClr val="000000"/>
                  </a:solidFill>
                  <a:latin typeface="Tahoma"/>
                  <a:ea typeface="Tahoma"/>
                  <a:cs typeface="Tahoma"/>
                </a:rPr>
                <a:t>Comment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1619250</xdr:colOff>
          <xdr:row>126</xdr:row>
          <xdr:rowOff>0</xdr:rowOff>
        </xdr:from>
        <xdr:to>
          <xdr:col>3</xdr:col>
          <xdr:colOff>1924050</xdr:colOff>
          <xdr:row>127</xdr:row>
          <xdr:rowOff>28575</xdr:rowOff>
        </xdr:to>
        <xdr:sp macro="" textlink="">
          <xdr:nvSpPr>
            <xdr:cNvPr id="1030" name="Check Box 6" hidden="1">
              <a:extLst>
                <a:ext uri="{63B3BB69-23CF-44E3-9099-C40C66FF867C}">
                  <a14:compatExt spid="_x0000_s10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0</xdr:row>
          <xdr:rowOff>76200</xdr:rowOff>
        </xdr:from>
        <xdr:to>
          <xdr:col>7</xdr:col>
          <xdr:colOff>504825</xdr:colOff>
          <xdr:row>1</xdr:row>
          <xdr:rowOff>180975</xdr:rowOff>
        </xdr:to>
        <xdr:sp macro="" textlink="">
          <xdr:nvSpPr>
            <xdr:cNvPr id="1031" name="Check Box 7" hidden="1">
              <a:extLst>
                <a:ext uri="{63B3BB69-23CF-44E3-9099-C40C66FF867C}">
                  <a14:compatExt spid="_x0000_s103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JM" sz="800" b="0" i="0" u="none" strike="noStrike" baseline="0">
                  <a:solidFill>
                    <a:srgbClr val="000000"/>
                  </a:solidFill>
                  <a:latin typeface="Tahoma"/>
                  <a:ea typeface="Tahoma"/>
                  <a:cs typeface="Tahoma"/>
                </a:rPr>
                <a:t>Comment</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333375</xdr:colOff>
          <xdr:row>2</xdr:row>
          <xdr:rowOff>66675</xdr:rowOff>
        </xdr:from>
        <xdr:to>
          <xdr:col>11</xdr:col>
          <xdr:colOff>695325</xdr:colOff>
          <xdr:row>3</xdr:row>
          <xdr:rowOff>171450</xdr:rowOff>
        </xdr:to>
        <xdr:sp macro="" textlink="">
          <xdr:nvSpPr>
            <xdr:cNvPr id="2049" name="Check Box 1" hidden="1">
              <a:extLst>
                <a:ext uri="{63B3BB69-23CF-44E3-9099-C40C66FF867C}">
                  <a14:compatExt spid="_x0000_s20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JM" sz="800" b="0" i="0" u="none" strike="noStrike" baseline="0">
                  <a:solidFill>
                    <a:srgbClr val="000000"/>
                  </a:solidFill>
                  <a:latin typeface="Tahoma"/>
                  <a:ea typeface="Tahoma"/>
                  <a:cs typeface="Tahoma"/>
                </a:rPr>
                <a:t>Comment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523875</xdr:colOff>
          <xdr:row>55</xdr:row>
          <xdr:rowOff>47625</xdr:rowOff>
        </xdr:from>
        <xdr:to>
          <xdr:col>15</xdr:col>
          <xdr:colOff>19050</xdr:colOff>
          <xdr:row>55</xdr:row>
          <xdr:rowOff>190500</xdr:rowOff>
        </xdr:to>
        <xdr:sp macro="" textlink="">
          <xdr:nvSpPr>
            <xdr:cNvPr id="2050" name="Check Box 2" hidden="1">
              <a:extLst>
                <a:ext uri="{63B3BB69-23CF-44E3-9099-C40C66FF867C}">
                  <a14:compatExt spid="_x0000_s20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1562100</xdr:colOff>
          <xdr:row>147</xdr:row>
          <xdr:rowOff>0</xdr:rowOff>
        </xdr:from>
        <xdr:to>
          <xdr:col>3</xdr:col>
          <xdr:colOff>1914525</xdr:colOff>
          <xdr:row>147</xdr:row>
          <xdr:rowOff>152400</xdr:rowOff>
        </xdr:to>
        <xdr:sp macro="" textlink="">
          <xdr:nvSpPr>
            <xdr:cNvPr id="2051" name="Check Box 3" hidden="1">
              <a:extLst>
                <a:ext uri="{63B3BB69-23CF-44E3-9099-C40C66FF867C}">
                  <a14:compatExt spid="_x0000_s20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561975</xdr:colOff>
          <xdr:row>55</xdr:row>
          <xdr:rowOff>38100</xdr:rowOff>
        </xdr:from>
        <xdr:to>
          <xdr:col>16</xdr:col>
          <xdr:colOff>57150</xdr:colOff>
          <xdr:row>55</xdr:row>
          <xdr:rowOff>180975</xdr:rowOff>
        </xdr:to>
        <xdr:sp macro="" textlink="">
          <xdr:nvSpPr>
            <xdr:cNvPr id="2052" name="Check Box 4" hidden="1">
              <a:extLst>
                <a:ext uri="{63B3BB69-23CF-44E3-9099-C40C66FF867C}">
                  <a14:compatExt spid="_x0000_s20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1600200</xdr:colOff>
          <xdr:row>154</xdr:row>
          <xdr:rowOff>47625</xdr:rowOff>
        </xdr:from>
        <xdr:to>
          <xdr:col>3</xdr:col>
          <xdr:colOff>1809750</xdr:colOff>
          <xdr:row>155</xdr:row>
          <xdr:rowOff>0</xdr:rowOff>
        </xdr:to>
        <xdr:sp macro="" textlink="">
          <xdr:nvSpPr>
            <xdr:cNvPr id="2053" name="Check Box 5" hidden="1">
              <a:extLst>
                <a:ext uri="{63B3BB69-23CF-44E3-9099-C40C66FF867C}">
                  <a14:compatExt spid="_x0000_s20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1828800</xdr:colOff>
          <xdr:row>114</xdr:row>
          <xdr:rowOff>9525</xdr:rowOff>
        </xdr:from>
        <xdr:to>
          <xdr:col>3</xdr:col>
          <xdr:colOff>2038350</xdr:colOff>
          <xdr:row>114</xdr:row>
          <xdr:rowOff>152400</xdr:rowOff>
        </xdr:to>
        <xdr:sp macro="" textlink="">
          <xdr:nvSpPr>
            <xdr:cNvPr id="2054" name="Check Box 6" hidden="1">
              <a:extLst>
                <a:ext uri="{63B3BB69-23CF-44E3-9099-C40C66FF867C}">
                  <a14:compatExt spid="_x0000_s20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1876425</xdr:colOff>
          <xdr:row>120</xdr:row>
          <xdr:rowOff>19050</xdr:rowOff>
        </xdr:from>
        <xdr:to>
          <xdr:col>3</xdr:col>
          <xdr:colOff>2085975</xdr:colOff>
          <xdr:row>120</xdr:row>
          <xdr:rowOff>161925</xdr:rowOff>
        </xdr:to>
        <xdr:sp macro="" textlink="">
          <xdr:nvSpPr>
            <xdr:cNvPr id="2055" name="Check Box 7" hidden="1">
              <a:extLst>
                <a:ext uri="{63B3BB69-23CF-44E3-9099-C40C66FF867C}">
                  <a14:compatExt spid="_x0000_s20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1828800</xdr:colOff>
          <xdr:row>184</xdr:row>
          <xdr:rowOff>9525</xdr:rowOff>
        </xdr:from>
        <xdr:to>
          <xdr:col>3</xdr:col>
          <xdr:colOff>2038350</xdr:colOff>
          <xdr:row>184</xdr:row>
          <xdr:rowOff>152400</xdr:rowOff>
        </xdr:to>
        <xdr:sp macro="" textlink="">
          <xdr:nvSpPr>
            <xdr:cNvPr id="2056" name="Check Box 8" hidden="1">
              <a:extLst>
                <a:ext uri="{63B3BB69-23CF-44E3-9099-C40C66FF867C}">
                  <a14:compatExt spid="_x0000_s20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1876425</xdr:colOff>
          <xdr:row>190</xdr:row>
          <xdr:rowOff>19050</xdr:rowOff>
        </xdr:from>
        <xdr:to>
          <xdr:col>3</xdr:col>
          <xdr:colOff>2085975</xdr:colOff>
          <xdr:row>190</xdr:row>
          <xdr:rowOff>161925</xdr:rowOff>
        </xdr:to>
        <xdr:sp macro="" textlink="">
          <xdr:nvSpPr>
            <xdr:cNvPr id="2057" name="Check Box 9" hidden="1">
              <a:extLst>
                <a:ext uri="{63B3BB69-23CF-44E3-9099-C40C66FF867C}">
                  <a14:compatExt spid="_x0000_s20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657225</xdr:colOff>
          <xdr:row>66</xdr:row>
          <xdr:rowOff>152400</xdr:rowOff>
        </xdr:from>
        <xdr:to>
          <xdr:col>10</xdr:col>
          <xdr:colOff>285750</xdr:colOff>
          <xdr:row>68</xdr:row>
          <xdr:rowOff>76200</xdr:rowOff>
        </xdr:to>
        <xdr:sp macro="" textlink="">
          <xdr:nvSpPr>
            <xdr:cNvPr id="2058" name="Button 10" hidden="1">
              <a:extLst>
                <a:ext uri="{63B3BB69-23CF-44E3-9099-C40C66FF867C}">
                  <a14:compatExt spid="_x0000_s2058"/>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JM" sz="1100" b="0" i="0" u="none" strike="noStrike" baseline="0">
                  <a:solidFill>
                    <a:srgbClr val="000000"/>
                  </a:solidFill>
                  <a:latin typeface="Calibri"/>
                  <a:cs typeface="Calibri"/>
                </a:rPr>
                <a:t>Copy and Past Macro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1828800</xdr:colOff>
          <xdr:row>320</xdr:row>
          <xdr:rowOff>9525</xdr:rowOff>
        </xdr:from>
        <xdr:to>
          <xdr:col>3</xdr:col>
          <xdr:colOff>2038350</xdr:colOff>
          <xdr:row>320</xdr:row>
          <xdr:rowOff>152400</xdr:rowOff>
        </xdr:to>
        <xdr:sp macro="" textlink="">
          <xdr:nvSpPr>
            <xdr:cNvPr id="2059" name="Check Box 11" hidden="1">
              <a:extLst>
                <a:ext uri="{63B3BB69-23CF-44E3-9099-C40C66FF867C}">
                  <a14:compatExt spid="_x0000_s20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638175</xdr:colOff>
          <xdr:row>228</xdr:row>
          <xdr:rowOff>57150</xdr:rowOff>
        </xdr:from>
        <xdr:to>
          <xdr:col>11</xdr:col>
          <xdr:colOff>47625</xdr:colOff>
          <xdr:row>230</xdr:row>
          <xdr:rowOff>142875</xdr:rowOff>
        </xdr:to>
        <xdr:sp macro="" textlink="">
          <xdr:nvSpPr>
            <xdr:cNvPr id="2060" name="Button 12" hidden="1">
              <a:extLst>
                <a:ext uri="{63B3BB69-23CF-44E3-9099-C40C66FF867C}">
                  <a14:compatExt spid="_x0000_s2060"/>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JM" sz="1100" b="0" i="0" u="none" strike="noStrike" baseline="0">
                  <a:solidFill>
                    <a:srgbClr val="000000"/>
                  </a:solidFill>
                  <a:latin typeface="Calibri"/>
                  <a:cs typeface="Calibri"/>
                </a:rPr>
                <a:t>Button 621</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Nelson%20Mandela/Documents/Courses/1.%20Models%20and%20Slides/Course%20Materials/2%20Project%20Finance%20Templates%20and%20Exercises/Examples/Project%20Finance%20Concept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ual Model"/>
      <sheetName val="Master Scenario"/>
      <sheetName val="Debt Service Chart"/>
      <sheetName val="Sensitivity Chart"/>
      <sheetName val="Model Verification"/>
      <sheetName val="Annual Renewable Model"/>
      <sheetName val="Renewable Scenario"/>
      <sheetName val="Simple Periodic Model"/>
      <sheetName val="DS Chart"/>
      <sheetName val="Debt Chart"/>
      <sheetName val="Periodic Model without Tax"/>
      <sheetName val="Circularity Sources"/>
      <sheetName val="Funding Circularity"/>
      <sheetName val="Funding Cascade"/>
      <sheetName val="DSRA and Circularity"/>
      <sheetName val="Sculpting Formulas"/>
      <sheetName val="Detailed Periodic Model"/>
      <sheetName val="Summary for Detailed Model"/>
      <sheetName val="Annual Summary"/>
      <sheetName val="Periodic Model Verification"/>
      <sheetName val="Dates for Periodic Model"/>
      <sheetName val="Simple NOL"/>
      <sheetName val="NOL with Portfolio"/>
      <sheetName val="Refinancing"/>
      <sheetName val="Capitalised Interest"/>
      <sheetName val="Depreciation Expense"/>
      <sheetName val="Southport Case"/>
      <sheetName val="Monte Carlo"/>
      <sheetName val="Real Estate Portfolio"/>
      <sheetName val="MRA"/>
      <sheetName val="Circular Reference"/>
      <sheetName val="Data Tables with Marcos"/>
      <sheetName val="Data Table with Macro"/>
      <sheetName val="IRR"/>
      <sheetName val="Sumproduct"/>
      <sheetName val="Offset"/>
    </sheetNames>
    <definedNames>
      <definedName name="Cascade_copy_paste"/>
      <definedName name="CheckBox1_Click"/>
      <definedName name="circ_one"/>
      <definedName name="colourinputs"/>
      <definedName name="copy_paste_1"/>
    </definedNames>
    <sheetDataSet>
      <sheetData sheetId="0">
        <row r="13">
          <cell r="E13">
            <v>100</v>
          </cell>
        </row>
        <row r="17">
          <cell r="E17">
            <v>0.66032772813368468</v>
          </cell>
        </row>
        <row r="91">
          <cell r="E91">
            <v>0</v>
          </cell>
        </row>
        <row r="92">
          <cell r="E92">
            <v>0</v>
          </cell>
        </row>
        <row r="116">
          <cell r="E116">
            <v>0</v>
          </cell>
        </row>
        <row r="117">
          <cell r="E117">
            <v>3</v>
          </cell>
        </row>
        <row r="118">
          <cell r="E118">
            <v>1</v>
          </cell>
        </row>
        <row r="119">
          <cell r="E119">
            <v>21</v>
          </cell>
        </row>
      </sheetData>
      <sheetData sheetId="1"/>
      <sheetData sheetId="4"/>
      <sheetData sheetId="5">
        <row r="2">
          <cell r="J2" t="b">
            <v>1</v>
          </cell>
        </row>
        <row r="22">
          <cell r="L22">
            <v>0.18761090476185771</v>
          </cell>
        </row>
        <row r="34">
          <cell r="O34">
            <v>4</v>
          </cell>
        </row>
        <row r="37">
          <cell r="I37">
            <v>0.15</v>
          </cell>
        </row>
        <row r="340">
          <cell r="D340">
            <v>0</v>
          </cell>
        </row>
        <row r="341">
          <cell r="D341">
            <v>0</v>
          </cell>
        </row>
        <row r="349">
          <cell r="D349">
            <v>-9.8490090971736777E-8</v>
          </cell>
        </row>
        <row r="445">
          <cell r="D445">
            <v>0</v>
          </cell>
        </row>
        <row r="446">
          <cell r="D446">
            <v>0</v>
          </cell>
        </row>
        <row r="447">
          <cell r="D447">
            <v>1</v>
          </cell>
        </row>
        <row r="448">
          <cell r="D448">
            <v>22</v>
          </cell>
        </row>
      </sheetData>
      <sheetData sheetId="6"/>
      <sheetData sheetId="7"/>
      <sheetData sheetId="10">
        <row r="5">
          <cell r="F5" t="b">
            <v>1</v>
          </cell>
        </row>
        <row r="13">
          <cell r="F13">
            <v>40422</v>
          </cell>
        </row>
        <row r="14">
          <cell r="F14">
            <v>40725</v>
          </cell>
        </row>
        <row r="18">
          <cell r="F18">
            <v>2</v>
          </cell>
        </row>
        <row r="20">
          <cell r="F20">
            <v>22</v>
          </cell>
        </row>
        <row r="22">
          <cell r="F22">
            <v>48457</v>
          </cell>
        </row>
        <row r="24">
          <cell r="F24">
            <v>1</v>
          </cell>
        </row>
        <row r="25">
          <cell r="F25">
            <v>6</v>
          </cell>
        </row>
        <row r="30">
          <cell r="F30">
            <v>10</v>
          </cell>
        </row>
        <row r="267">
          <cell r="F267">
            <v>0</v>
          </cell>
        </row>
        <row r="268">
          <cell r="F268">
            <v>0</v>
          </cell>
        </row>
        <row r="553">
          <cell r="E553">
            <v>0</v>
          </cell>
        </row>
        <row r="599">
          <cell r="E599">
            <v>0</v>
          </cell>
        </row>
        <row r="600">
          <cell r="E600">
            <v>119706.35425841773</v>
          </cell>
        </row>
        <row r="602">
          <cell r="E602">
            <v>0</v>
          </cell>
        </row>
        <row r="603">
          <cell r="E603">
            <v>0</v>
          </cell>
        </row>
        <row r="604">
          <cell r="E604">
            <v>1</v>
          </cell>
        </row>
        <row r="605">
          <cell r="E605">
            <v>22</v>
          </cell>
        </row>
        <row r="618">
          <cell r="E618">
            <v>40179</v>
          </cell>
        </row>
        <row r="619">
          <cell r="E619">
            <v>40210</v>
          </cell>
        </row>
        <row r="620">
          <cell r="E620">
            <v>40238</v>
          </cell>
        </row>
        <row r="621">
          <cell r="E621">
            <v>40269</v>
          </cell>
        </row>
        <row r="622">
          <cell r="E622">
            <v>40299</v>
          </cell>
        </row>
        <row r="623">
          <cell r="E623">
            <v>40330</v>
          </cell>
        </row>
        <row r="624">
          <cell r="E624">
            <v>40360</v>
          </cell>
        </row>
        <row r="625">
          <cell r="E625">
            <v>40391</v>
          </cell>
        </row>
        <row r="626">
          <cell r="E626">
            <v>40422</v>
          </cell>
        </row>
        <row r="627">
          <cell r="E627">
            <v>40452</v>
          </cell>
        </row>
        <row r="628">
          <cell r="E628">
            <v>40483</v>
          </cell>
        </row>
        <row r="629">
          <cell r="E629">
            <v>40513</v>
          </cell>
        </row>
        <row r="630">
          <cell r="E630">
            <v>40544</v>
          </cell>
        </row>
        <row r="631">
          <cell r="E631">
            <v>40575</v>
          </cell>
        </row>
        <row r="632">
          <cell r="E632">
            <v>40603</v>
          </cell>
        </row>
        <row r="633">
          <cell r="E633">
            <v>40634</v>
          </cell>
        </row>
        <row r="634">
          <cell r="E634">
            <v>40664</v>
          </cell>
        </row>
        <row r="635">
          <cell r="E635">
            <v>40695</v>
          </cell>
        </row>
        <row r="636">
          <cell r="E636">
            <v>40725</v>
          </cell>
        </row>
        <row r="637">
          <cell r="E637">
            <v>40756</v>
          </cell>
        </row>
        <row r="638">
          <cell r="E638">
            <v>40787</v>
          </cell>
        </row>
        <row r="639">
          <cell r="E639">
            <v>40817</v>
          </cell>
        </row>
        <row r="640">
          <cell r="E640">
            <v>40848</v>
          </cell>
        </row>
        <row r="641">
          <cell r="E641">
            <v>40878</v>
          </cell>
        </row>
        <row r="642">
          <cell r="E642">
            <v>40909</v>
          </cell>
        </row>
        <row r="643">
          <cell r="E643">
            <v>40940</v>
          </cell>
        </row>
        <row r="644">
          <cell r="E644">
            <v>40969</v>
          </cell>
        </row>
        <row r="645">
          <cell r="E645">
            <v>41000</v>
          </cell>
        </row>
        <row r="646">
          <cell r="E646">
            <v>41030</v>
          </cell>
        </row>
        <row r="647">
          <cell r="E647">
            <v>41061</v>
          </cell>
        </row>
        <row r="648">
          <cell r="E648">
            <v>41091</v>
          </cell>
        </row>
        <row r="649">
          <cell r="E649">
            <v>41122</v>
          </cell>
        </row>
        <row r="650">
          <cell r="E650">
            <v>41153</v>
          </cell>
        </row>
        <row r="651">
          <cell r="E651">
            <v>41183</v>
          </cell>
        </row>
        <row r="652">
          <cell r="E652">
            <v>41214</v>
          </cell>
        </row>
        <row r="653">
          <cell r="E653">
            <v>41244</v>
          </cell>
        </row>
        <row r="654">
          <cell r="E654">
            <v>41275</v>
          </cell>
        </row>
        <row r="655">
          <cell r="E655">
            <v>41306</v>
          </cell>
        </row>
        <row r="656">
          <cell r="E656">
            <v>41334</v>
          </cell>
        </row>
        <row r="657">
          <cell r="E657">
            <v>41365</v>
          </cell>
        </row>
        <row r="658">
          <cell r="E658">
            <v>41395</v>
          </cell>
        </row>
        <row r="659">
          <cell r="E659">
            <v>41426</v>
          </cell>
        </row>
        <row r="660">
          <cell r="E660">
            <v>41456</v>
          </cell>
        </row>
        <row r="661">
          <cell r="E661">
            <v>41487</v>
          </cell>
        </row>
        <row r="662">
          <cell r="E662">
            <v>41518</v>
          </cell>
        </row>
        <row r="663">
          <cell r="E663">
            <v>41548</v>
          </cell>
        </row>
        <row r="664">
          <cell r="E664">
            <v>41579</v>
          </cell>
        </row>
        <row r="665">
          <cell r="E665">
            <v>41609</v>
          </cell>
        </row>
        <row r="666">
          <cell r="E666">
            <v>41640</v>
          </cell>
        </row>
        <row r="667">
          <cell r="E667">
            <v>41671</v>
          </cell>
        </row>
        <row r="668">
          <cell r="E668">
            <v>41699</v>
          </cell>
        </row>
        <row r="669">
          <cell r="E669">
            <v>41730</v>
          </cell>
        </row>
        <row r="670">
          <cell r="E670">
            <v>41760</v>
          </cell>
        </row>
        <row r="671">
          <cell r="E671">
            <v>41791</v>
          </cell>
        </row>
        <row r="672">
          <cell r="E672">
            <v>41821</v>
          </cell>
        </row>
        <row r="673">
          <cell r="E673">
            <v>41852</v>
          </cell>
        </row>
        <row r="674">
          <cell r="E674">
            <v>41883</v>
          </cell>
        </row>
        <row r="675">
          <cell r="E675">
            <v>41913</v>
          </cell>
        </row>
        <row r="676">
          <cell r="E676">
            <v>41944</v>
          </cell>
        </row>
        <row r="677">
          <cell r="E677">
            <v>41974</v>
          </cell>
        </row>
        <row r="678">
          <cell r="E678">
            <v>42005</v>
          </cell>
        </row>
        <row r="679">
          <cell r="E679">
            <v>42036</v>
          </cell>
        </row>
        <row r="680">
          <cell r="E680">
            <v>42064</v>
          </cell>
        </row>
        <row r="681">
          <cell r="E681">
            <v>42095</v>
          </cell>
        </row>
        <row r="682">
          <cell r="E682">
            <v>42125</v>
          </cell>
        </row>
        <row r="683">
          <cell r="E683">
            <v>42156</v>
          </cell>
        </row>
        <row r="684">
          <cell r="E684">
            <v>42186</v>
          </cell>
        </row>
        <row r="685">
          <cell r="E685">
            <v>42217</v>
          </cell>
        </row>
        <row r="686">
          <cell r="E686">
            <v>42248</v>
          </cell>
        </row>
        <row r="687">
          <cell r="E687">
            <v>42278</v>
          </cell>
        </row>
        <row r="688">
          <cell r="E688">
            <v>42309</v>
          </cell>
        </row>
        <row r="689">
          <cell r="E689">
            <v>42339</v>
          </cell>
        </row>
        <row r="690">
          <cell r="E690">
            <v>42370</v>
          </cell>
        </row>
        <row r="691">
          <cell r="E691">
            <v>42401</v>
          </cell>
        </row>
        <row r="692">
          <cell r="E692">
            <v>42430</v>
          </cell>
        </row>
        <row r="693">
          <cell r="E693">
            <v>42461</v>
          </cell>
        </row>
        <row r="694">
          <cell r="E694">
            <v>42491</v>
          </cell>
        </row>
        <row r="695">
          <cell r="E695">
            <v>42522</v>
          </cell>
        </row>
        <row r="696">
          <cell r="E696">
            <v>42552</v>
          </cell>
        </row>
        <row r="697">
          <cell r="E697">
            <v>42583</v>
          </cell>
        </row>
        <row r="698">
          <cell r="E698">
            <v>42614</v>
          </cell>
        </row>
        <row r="699">
          <cell r="E699">
            <v>42644</v>
          </cell>
        </row>
        <row r="700">
          <cell r="E700">
            <v>42675</v>
          </cell>
        </row>
        <row r="701">
          <cell r="E701">
            <v>42705</v>
          </cell>
        </row>
        <row r="702">
          <cell r="E702">
            <v>42736</v>
          </cell>
        </row>
        <row r="703">
          <cell r="E703">
            <v>42767</v>
          </cell>
        </row>
        <row r="704">
          <cell r="E704">
            <v>42795</v>
          </cell>
        </row>
        <row r="705">
          <cell r="E705">
            <v>42826</v>
          </cell>
        </row>
        <row r="706">
          <cell r="E706">
            <v>42856</v>
          </cell>
        </row>
        <row r="707">
          <cell r="E707">
            <v>42887</v>
          </cell>
        </row>
        <row r="708">
          <cell r="E708">
            <v>42917</v>
          </cell>
        </row>
        <row r="709">
          <cell r="E709">
            <v>42948</v>
          </cell>
        </row>
        <row r="710">
          <cell r="E710">
            <v>42979</v>
          </cell>
        </row>
        <row r="711">
          <cell r="E711">
            <v>43009</v>
          </cell>
        </row>
        <row r="712">
          <cell r="E712">
            <v>43040</v>
          </cell>
        </row>
        <row r="713">
          <cell r="E713">
            <v>43070</v>
          </cell>
        </row>
        <row r="714">
          <cell r="E714">
            <v>43101</v>
          </cell>
        </row>
        <row r="715">
          <cell r="E715">
            <v>43132</v>
          </cell>
        </row>
        <row r="716">
          <cell r="E716">
            <v>43160</v>
          </cell>
        </row>
        <row r="717">
          <cell r="E717">
            <v>43191</v>
          </cell>
        </row>
        <row r="718">
          <cell r="E718">
            <v>43221</v>
          </cell>
        </row>
        <row r="719">
          <cell r="E719">
            <v>43252</v>
          </cell>
        </row>
        <row r="720">
          <cell r="E720">
            <v>43282</v>
          </cell>
        </row>
        <row r="721">
          <cell r="E721">
            <v>43313</v>
          </cell>
        </row>
        <row r="722">
          <cell r="E722">
            <v>43344</v>
          </cell>
        </row>
        <row r="723">
          <cell r="E723">
            <v>43374</v>
          </cell>
        </row>
        <row r="724">
          <cell r="E724">
            <v>43405</v>
          </cell>
        </row>
        <row r="725">
          <cell r="E725">
            <v>43435</v>
          </cell>
        </row>
        <row r="726">
          <cell r="E726">
            <v>43466</v>
          </cell>
        </row>
        <row r="727">
          <cell r="E727">
            <v>43497</v>
          </cell>
        </row>
        <row r="728">
          <cell r="E728">
            <v>43525</v>
          </cell>
        </row>
        <row r="729">
          <cell r="E729">
            <v>43556</v>
          </cell>
        </row>
        <row r="730">
          <cell r="E730">
            <v>43586</v>
          </cell>
        </row>
        <row r="731">
          <cell r="E731">
            <v>43617</v>
          </cell>
        </row>
        <row r="732">
          <cell r="E732">
            <v>43647</v>
          </cell>
        </row>
        <row r="733">
          <cell r="E733">
            <v>43678</v>
          </cell>
        </row>
        <row r="734">
          <cell r="E734">
            <v>43709</v>
          </cell>
        </row>
        <row r="735">
          <cell r="E735">
            <v>43739</v>
          </cell>
        </row>
        <row r="736">
          <cell r="E736">
            <v>43770</v>
          </cell>
        </row>
        <row r="737">
          <cell r="E737">
            <v>43800</v>
          </cell>
        </row>
        <row r="738">
          <cell r="E738">
            <v>43831</v>
          </cell>
        </row>
        <row r="739">
          <cell r="E739">
            <v>43862</v>
          </cell>
        </row>
        <row r="740">
          <cell r="E740">
            <v>43891</v>
          </cell>
        </row>
        <row r="741">
          <cell r="E741">
            <v>43922</v>
          </cell>
        </row>
        <row r="742">
          <cell r="E742">
            <v>43952</v>
          </cell>
        </row>
        <row r="743">
          <cell r="E743">
            <v>43983</v>
          </cell>
        </row>
        <row r="744">
          <cell r="E744">
            <v>44013</v>
          </cell>
        </row>
        <row r="745">
          <cell r="E745">
            <v>44044</v>
          </cell>
        </row>
        <row r="746">
          <cell r="E746">
            <v>44075</v>
          </cell>
        </row>
        <row r="747">
          <cell r="E747">
            <v>44105</v>
          </cell>
        </row>
        <row r="748">
          <cell r="E748">
            <v>44136</v>
          </cell>
        </row>
        <row r="749">
          <cell r="E749">
            <v>44166</v>
          </cell>
        </row>
        <row r="750">
          <cell r="E750">
            <v>44197</v>
          </cell>
        </row>
        <row r="751">
          <cell r="E751">
            <v>44228</v>
          </cell>
        </row>
        <row r="752">
          <cell r="E752">
            <v>44256</v>
          </cell>
        </row>
        <row r="753">
          <cell r="E753">
            <v>44287</v>
          </cell>
        </row>
        <row r="754">
          <cell r="E754">
            <v>44317</v>
          </cell>
        </row>
        <row r="755">
          <cell r="E755">
            <v>44348</v>
          </cell>
        </row>
        <row r="756">
          <cell r="E756">
            <v>44378</v>
          </cell>
        </row>
        <row r="757">
          <cell r="E757">
            <v>44409</v>
          </cell>
        </row>
        <row r="758">
          <cell r="E758">
            <v>44440</v>
          </cell>
        </row>
        <row r="759">
          <cell r="E759">
            <v>44470</v>
          </cell>
        </row>
        <row r="760">
          <cell r="E760">
            <v>44501</v>
          </cell>
        </row>
        <row r="761">
          <cell r="E761">
            <v>44531</v>
          </cell>
        </row>
        <row r="762">
          <cell r="E762">
            <v>44562</v>
          </cell>
        </row>
        <row r="763">
          <cell r="E763">
            <v>44593</v>
          </cell>
        </row>
        <row r="764">
          <cell r="E764">
            <v>44621</v>
          </cell>
        </row>
        <row r="765">
          <cell r="E765">
            <v>44652</v>
          </cell>
        </row>
        <row r="766">
          <cell r="E766">
            <v>44682</v>
          </cell>
        </row>
        <row r="767">
          <cell r="E767">
            <v>44713</v>
          </cell>
        </row>
        <row r="768">
          <cell r="E768">
            <v>44743</v>
          </cell>
        </row>
        <row r="769">
          <cell r="E769">
            <v>44774</v>
          </cell>
        </row>
        <row r="770">
          <cell r="E770">
            <v>44805</v>
          </cell>
        </row>
        <row r="771">
          <cell r="E771">
            <v>44835</v>
          </cell>
        </row>
        <row r="772">
          <cell r="E772">
            <v>44866</v>
          </cell>
        </row>
        <row r="773">
          <cell r="E773">
            <v>44896</v>
          </cell>
        </row>
        <row r="774">
          <cell r="E774">
            <v>44927</v>
          </cell>
        </row>
        <row r="775">
          <cell r="E775">
            <v>44958</v>
          </cell>
        </row>
        <row r="776">
          <cell r="E776">
            <v>44986</v>
          </cell>
        </row>
        <row r="777">
          <cell r="E777">
            <v>45017</v>
          </cell>
        </row>
        <row r="778">
          <cell r="E778">
            <v>45047</v>
          </cell>
        </row>
        <row r="779">
          <cell r="E779">
            <v>45078</v>
          </cell>
        </row>
        <row r="780">
          <cell r="E780">
            <v>45108</v>
          </cell>
        </row>
        <row r="781">
          <cell r="E781">
            <v>45139</v>
          </cell>
        </row>
        <row r="782">
          <cell r="E782">
            <v>45170</v>
          </cell>
        </row>
        <row r="783">
          <cell r="E783">
            <v>45200</v>
          </cell>
        </row>
        <row r="784">
          <cell r="E784">
            <v>45231</v>
          </cell>
        </row>
        <row r="785">
          <cell r="E785">
            <v>45261</v>
          </cell>
        </row>
        <row r="786">
          <cell r="E786">
            <v>45292</v>
          </cell>
        </row>
        <row r="787">
          <cell r="E787">
            <v>45323</v>
          </cell>
        </row>
        <row r="788">
          <cell r="E788">
            <v>45352</v>
          </cell>
        </row>
        <row r="789">
          <cell r="E789">
            <v>45383</v>
          </cell>
        </row>
        <row r="790">
          <cell r="E790">
            <v>45413</v>
          </cell>
        </row>
        <row r="791">
          <cell r="E791">
            <v>45444</v>
          </cell>
        </row>
        <row r="792">
          <cell r="E792">
            <v>45474</v>
          </cell>
        </row>
        <row r="793">
          <cell r="E793">
            <v>45505</v>
          </cell>
        </row>
        <row r="794">
          <cell r="E794">
            <v>45536</v>
          </cell>
        </row>
      </sheetData>
      <sheetData sheetId="11"/>
      <sheetData sheetId="12"/>
      <sheetData sheetId="13"/>
      <sheetData sheetId="14">
        <row r="238">
          <cell r="E238">
            <v>1118.4140869910568</v>
          </cell>
        </row>
      </sheetData>
      <sheetData sheetId="15"/>
      <sheetData sheetId="16">
        <row r="4">
          <cell r="E4" t="b">
            <v>1</v>
          </cell>
        </row>
        <row r="149">
          <cell r="F149">
            <v>757766.78269042214</v>
          </cell>
          <cell r="H149">
            <v>757766.78269042214</v>
          </cell>
          <cell r="I149">
            <v>0</v>
          </cell>
        </row>
        <row r="150">
          <cell r="F150">
            <v>82167.609683221439</v>
          </cell>
          <cell r="I150">
            <v>0.48259536108525936</v>
          </cell>
        </row>
        <row r="385">
          <cell r="G385" t="b">
            <v>0</v>
          </cell>
        </row>
        <row r="386">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757766.78269042214</v>
          </cell>
          <cell r="BA386">
            <v>755983.26834157982</v>
          </cell>
          <cell r="BB386">
            <v>754337.22056456376</v>
          </cell>
          <cell r="BC386">
            <v>752527.36958280462</v>
          </cell>
          <cell r="BD386">
            <v>750855.23264785623</v>
          </cell>
          <cell r="BE386">
            <v>749018.79106944008</v>
          </cell>
          <cell r="BF386">
            <v>747168.63349713292</v>
          </cell>
          <cell r="BG386">
            <v>745456.55942221021</v>
          </cell>
          <cell r="BH386">
            <v>743579.42328107601</v>
          </cell>
          <cell r="BI386">
            <v>741840.61759956321</v>
          </cell>
          <cell r="BJ386">
            <v>739936.24323115894</v>
          </cell>
          <cell r="BK386">
            <v>738017.82488169952</v>
          </cell>
          <cell r="BL386">
            <v>736543.7269625098</v>
          </cell>
          <cell r="BM386">
            <v>734598.98611273698</v>
          </cell>
          <cell r="BN386">
            <v>732793.19639704039</v>
          </cell>
          <cell r="BO386">
            <v>730820.56651266525</v>
          </cell>
          <cell r="BP386">
            <v>728987.13397975464</v>
          </cell>
          <cell r="BQ386">
            <v>726986.34732679871</v>
          </cell>
          <cell r="BR386">
            <v>724971.05152150185</v>
          </cell>
          <cell r="BS386">
            <v>723095.32052510779</v>
          </cell>
          <cell r="BT386">
            <v>721051.45905733434</v>
          </cell>
          <cell r="BU386">
            <v>719147.40798779181</v>
          </cell>
          <cell r="BV386">
            <v>717074.70712773514</v>
          </cell>
          <cell r="BW386">
            <v>714987.15148758201</v>
          </cell>
          <cell r="BX386">
            <v>713349.97836780269</v>
          </cell>
          <cell r="BY386">
            <v>711234.4973690412</v>
          </cell>
          <cell r="BZ386">
            <v>709259.44386772299</v>
          </cell>
          <cell r="CA386">
            <v>707114.43708118703</v>
          </cell>
          <cell r="CB386">
            <v>705110.10247080459</v>
          </cell>
          <cell r="CC386">
            <v>702935.2876601622</v>
          </cell>
          <cell r="CD386">
            <v>700745.12764734321</v>
          </cell>
          <cell r="CE386">
            <v>698696.00484751945</v>
          </cell>
          <cell r="CF386">
            <v>696475.60588431114</v>
          </cell>
          <cell r="CG386">
            <v>694396.48806202761</v>
          </cell>
          <cell r="CH386">
            <v>692145.56159924646</v>
          </cell>
          <cell r="CI386">
            <v>689876.92930628685</v>
          </cell>
          <cell r="CJ386">
            <v>688063.17694517155</v>
          </cell>
          <cell r="CK386">
            <v>685760.89434766304</v>
          </cell>
          <cell r="CL386">
            <v>683598.72471882601</v>
          </cell>
          <cell r="CM386">
            <v>681261.097909712</v>
          </cell>
          <cell r="CN386">
            <v>679063.92818015383</v>
          </cell>
          <cell r="CO386">
            <v>676690.60162953532</v>
          </cell>
          <cell r="CP386">
            <v>674298.95024164126</v>
          </cell>
          <cell r="CQ386">
            <v>672048.27084554115</v>
          </cell>
          <cell r="CR386">
            <v>669620.3774252634</v>
          </cell>
          <cell r="CS386">
            <v>667333.80036086543</v>
          </cell>
          <cell r="CT386">
            <v>664869.30122583115</v>
          </cell>
          <cell r="CU386">
            <v>662386.01836514007</v>
          </cell>
          <cell r="CV386">
            <v>660205.27662405698</v>
          </cell>
          <cell r="CW386">
            <v>657685.52346407878</v>
          </cell>
          <cell r="CX386">
            <v>655307.94942606904</v>
          </cell>
          <cell r="CY386">
            <v>652750.66979722877</v>
          </cell>
          <cell r="CZ386">
            <v>650335.91394814267</v>
          </cell>
          <cell r="DA386">
            <v>635060.59846757562</v>
          </cell>
          <cell r="DB386">
            <v>619582.55989210121</v>
          </cell>
          <cell r="DC386">
            <v>602903.47553835262</v>
          </cell>
          <cell r="DD386">
            <v>585988.95416259987</v>
          </cell>
          <cell r="DE386">
            <v>567819.95875114202</v>
          </cell>
          <cell r="DF386">
            <v>549380.64284265903</v>
          </cell>
          <cell r="DG386">
            <v>529630.80126513564</v>
          </cell>
          <cell r="DH386">
            <v>509398.35343710415</v>
          </cell>
          <cell r="DI386">
            <v>488823.44425623497</v>
          </cell>
          <cell r="DJ386">
            <v>467918.08534205164</v>
          </cell>
          <cell r="DK386">
            <v>445627.04971885565</v>
          </cell>
          <cell r="DL386">
            <v>422964.91073261853</v>
          </cell>
          <cell r="DM386">
            <v>398854.44846396463</v>
          </cell>
          <cell r="DN386">
            <v>374329.61613846949</v>
          </cell>
          <cell r="DO386">
            <v>348290.7140629316</v>
          </cell>
          <cell r="DP386">
            <v>321606.85888270504</v>
          </cell>
          <cell r="DQ386">
            <v>293519.66776520014</v>
          </cell>
          <cell r="DR386">
            <v>264923.01063671499</v>
          </cell>
          <cell r="DS386">
            <v>235616.17748874455</v>
          </cell>
          <cell r="DT386">
            <v>205766.36025651288</v>
          </cell>
          <cell r="DU386">
            <v>174235.08513776344</v>
          </cell>
          <cell r="DV386">
            <v>142107.21422316905</v>
          </cell>
          <cell r="DW386">
            <v>108220.38860838953</v>
          </cell>
          <cell r="DX386">
            <v>73485.652856204775</v>
          </cell>
          <cell r="DY386">
            <v>37099.894195812092</v>
          </cell>
          <cell r="DZ386">
            <v>0</v>
          </cell>
          <cell r="EA386">
            <v>0</v>
          </cell>
          <cell r="EB386">
            <v>0</v>
          </cell>
          <cell r="EC386">
            <v>0</v>
          </cell>
          <cell r="ED386">
            <v>0</v>
          </cell>
          <cell r="EE386">
            <v>0</v>
          </cell>
          <cell r="EF386">
            <v>0</v>
          </cell>
          <cell r="EG386">
            <v>0</v>
          </cell>
          <cell r="EH386">
            <v>0</v>
          </cell>
          <cell r="EI386">
            <v>0</v>
          </cell>
          <cell r="EJ386">
            <v>0</v>
          </cell>
          <cell r="EK386">
            <v>0</v>
          </cell>
          <cell r="EL386">
            <v>0</v>
          </cell>
          <cell r="EM386">
            <v>0</v>
          </cell>
          <cell r="EN386">
            <v>0</v>
          </cell>
          <cell r="EO386">
            <v>0</v>
          </cell>
          <cell r="EP386">
            <v>0</v>
          </cell>
          <cell r="EQ386">
            <v>0</v>
          </cell>
          <cell r="ER386">
            <v>0</v>
          </cell>
          <cell r="ES386">
            <v>0</v>
          </cell>
          <cell r="ET386">
            <v>0</v>
          </cell>
          <cell r="EU386">
            <v>0</v>
          </cell>
          <cell r="EV386">
            <v>0</v>
          </cell>
          <cell r="EW386">
            <v>0</v>
          </cell>
          <cell r="EX386">
            <v>0</v>
          </cell>
          <cell r="EY386">
            <v>0</v>
          </cell>
          <cell r="EZ386">
            <v>0</v>
          </cell>
          <cell r="FA386">
            <v>0</v>
          </cell>
          <cell r="FB386">
            <v>0</v>
          </cell>
          <cell r="FC386">
            <v>0</v>
          </cell>
          <cell r="FD386">
            <v>0</v>
          </cell>
          <cell r="FE386">
            <v>0</v>
          </cell>
          <cell r="FF386">
            <v>0</v>
          </cell>
          <cell r="FG386">
            <v>0</v>
          </cell>
          <cell r="FH386">
            <v>0</v>
          </cell>
          <cell r="FI386">
            <v>0</v>
          </cell>
          <cell r="FJ386">
            <v>0</v>
          </cell>
          <cell r="FK386">
            <v>0</v>
          </cell>
          <cell r="FL386">
            <v>0</v>
          </cell>
          <cell r="FM386">
            <v>0</v>
          </cell>
          <cell r="FN386">
            <v>0</v>
          </cell>
          <cell r="FO386">
            <v>0</v>
          </cell>
          <cell r="FP386">
            <v>0</v>
          </cell>
          <cell r="FQ386">
            <v>0</v>
          </cell>
          <cell r="FR386">
            <v>0</v>
          </cell>
          <cell r="FS386">
            <v>0</v>
          </cell>
          <cell r="FT386">
            <v>0</v>
          </cell>
          <cell r="FU386">
            <v>0</v>
          </cell>
          <cell r="FV386">
            <v>0</v>
          </cell>
          <cell r="FW386">
            <v>0</v>
          </cell>
          <cell r="FX386">
            <v>0</v>
          </cell>
          <cell r="FY386">
            <v>0</v>
          </cell>
          <cell r="FZ386">
            <v>0</v>
          </cell>
          <cell r="GA386">
            <v>0</v>
          </cell>
          <cell r="GB386">
            <v>0</v>
          </cell>
          <cell r="GC386">
            <v>0</v>
          </cell>
          <cell r="GD386">
            <v>0</v>
          </cell>
          <cell r="GE386">
            <v>0</v>
          </cell>
          <cell r="GF386">
            <v>0</v>
          </cell>
          <cell r="GG386">
            <v>0</v>
          </cell>
          <cell r="GH386">
            <v>0</v>
          </cell>
          <cell r="GI386">
            <v>0</v>
          </cell>
          <cell r="GJ386">
            <v>0</v>
          </cell>
          <cell r="GK386">
            <v>0</v>
          </cell>
          <cell r="GL386">
            <v>0</v>
          </cell>
          <cell r="GM386">
            <v>0</v>
          </cell>
          <cell r="GN386">
            <v>0</v>
          </cell>
          <cell r="GO386">
            <v>0</v>
          </cell>
          <cell r="GP386">
            <v>0</v>
          </cell>
          <cell r="GQ386">
            <v>0</v>
          </cell>
          <cell r="GR386">
            <v>0</v>
          </cell>
          <cell r="GS386">
            <v>0</v>
          </cell>
          <cell r="GT386">
            <v>0</v>
          </cell>
          <cell r="GU386">
            <v>0</v>
          </cell>
          <cell r="GV386">
            <v>0</v>
          </cell>
          <cell r="GW386">
            <v>0</v>
          </cell>
          <cell r="GX386">
            <v>0</v>
          </cell>
          <cell r="GY386">
            <v>0</v>
          </cell>
          <cell r="GZ386">
            <v>0</v>
          </cell>
          <cell r="HA386">
            <v>0</v>
          </cell>
          <cell r="HB386">
            <v>0</v>
          </cell>
          <cell r="HC386">
            <v>0</v>
          </cell>
          <cell r="HD386">
            <v>0</v>
          </cell>
          <cell r="HE386">
            <v>0</v>
          </cell>
          <cell r="HF386">
            <v>0</v>
          </cell>
          <cell r="HG386">
            <v>0</v>
          </cell>
          <cell r="HH386">
            <v>0</v>
          </cell>
          <cell r="HI386">
            <v>0</v>
          </cell>
          <cell r="HJ386">
            <v>0</v>
          </cell>
          <cell r="HK386">
            <v>0</v>
          </cell>
          <cell r="HL386">
            <v>0</v>
          </cell>
          <cell r="HM386">
            <v>0</v>
          </cell>
          <cell r="HN386">
            <v>0</v>
          </cell>
          <cell r="HO386">
            <v>0</v>
          </cell>
          <cell r="HP386">
            <v>0</v>
          </cell>
          <cell r="HQ386">
            <v>0</v>
          </cell>
          <cell r="HR386">
            <v>0</v>
          </cell>
          <cell r="HS386">
            <v>0</v>
          </cell>
          <cell r="HT386">
            <v>0</v>
          </cell>
          <cell r="HU386">
            <v>0</v>
          </cell>
          <cell r="HV386">
            <v>0</v>
          </cell>
          <cell r="HW386">
            <v>0</v>
          </cell>
          <cell r="HX386">
            <v>0</v>
          </cell>
          <cell r="HY386">
            <v>0</v>
          </cell>
          <cell r="HZ386">
            <v>0</v>
          </cell>
        </row>
      </sheetData>
      <sheetData sheetId="17"/>
      <sheetData sheetId="18">
        <row r="74">
          <cell r="E74" t="str">
            <v/>
          </cell>
        </row>
        <row r="75">
          <cell r="E75">
            <v>0</v>
          </cell>
        </row>
        <row r="76">
          <cell r="E76">
            <v>0</v>
          </cell>
        </row>
        <row r="82">
          <cell r="E82">
            <v>0</v>
          </cell>
        </row>
        <row r="83">
          <cell r="E83">
            <v>5</v>
          </cell>
        </row>
        <row r="84">
          <cell r="E84">
            <v>1</v>
          </cell>
        </row>
        <row r="85">
          <cell r="E85">
            <v>26</v>
          </cell>
        </row>
      </sheetData>
      <sheetData sheetId="19"/>
      <sheetData sheetId="20">
        <row r="2">
          <cell r="N2" t="b">
            <v>0</v>
          </cell>
        </row>
        <row r="3">
          <cell r="E3">
            <v>40544</v>
          </cell>
        </row>
        <row r="4">
          <cell r="E4">
            <v>40575</v>
          </cell>
        </row>
        <row r="5">
          <cell r="E5">
            <v>40603</v>
          </cell>
        </row>
        <row r="6">
          <cell r="E6">
            <v>40634</v>
          </cell>
        </row>
        <row r="7">
          <cell r="E7">
            <v>40664</v>
          </cell>
        </row>
        <row r="8">
          <cell r="E8">
            <v>40695</v>
          </cell>
        </row>
        <row r="9">
          <cell r="E9">
            <v>40725</v>
          </cell>
        </row>
        <row r="10">
          <cell r="E10">
            <v>40756</v>
          </cell>
        </row>
        <row r="11">
          <cell r="E11">
            <v>40787</v>
          </cell>
        </row>
        <row r="12">
          <cell r="E12">
            <v>40817</v>
          </cell>
        </row>
        <row r="13">
          <cell r="E13">
            <v>40848</v>
          </cell>
        </row>
        <row r="14">
          <cell r="E14">
            <v>40878</v>
          </cell>
        </row>
        <row r="15">
          <cell r="E15">
            <v>40909</v>
          </cell>
        </row>
        <row r="16">
          <cell r="E16">
            <v>40940</v>
          </cell>
        </row>
        <row r="17">
          <cell r="E17">
            <v>40969</v>
          </cell>
        </row>
        <row r="18">
          <cell r="E18">
            <v>41000</v>
          </cell>
        </row>
        <row r="19">
          <cell r="E19">
            <v>41030</v>
          </cell>
        </row>
        <row r="20">
          <cell r="E20">
            <v>41061</v>
          </cell>
        </row>
        <row r="21">
          <cell r="E21">
            <v>41091</v>
          </cell>
        </row>
        <row r="22">
          <cell r="E22">
            <v>41122</v>
          </cell>
        </row>
        <row r="23">
          <cell r="E23">
            <v>41153</v>
          </cell>
        </row>
        <row r="24">
          <cell r="E24">
            <v>41183</v>
          </cell>
        </row>
        <row r="25">
          <cell r="E25">
            <v>41214</v>
          </cell>
        </row>
        <row r="26">
          <cell r="E26">
            <v>41244</v>
          </cell>
        </row>
        <row r="27">
          <cell r="E27">
            <v>41275</v>
          </cell>
        </row>
        <row r="28">
          <cell r="E28">
            <v>41306</v>
          </cell>
        </row>
        <row r="29">
          <cell r="E29">
            <v>41334</v>
          </cell>
        </row>
        <row r="30">
          <cell r="E30">
            <v>41365</v>
          </cell>
        </row>
        <row r="31">
          <cell r="E31">
            <v>41395</v>
          </cell>
        </row>
        <row r="32">
          <cell r="E32">
            <v>41426</v>
          </cell>
        </row>
        <row r="33">
          <cell r="E33">
            <v>41456</v>
          </cell>
        </row>
        <row r="34">
          <cell r="E34">
            <v>41487</v>
          </cell>
        </row>
        <row r="35">
          <cell r="E35">
            <v>41518</v>
          </cell>
        </row>
        <row r="36">
          <cell r="E36">
            <v>41548</v>
          </cell>
        </row>
        <row r="37">
          <cell r="E37">
            <v>41579</v>
          </cell>
        </row>
        <row r="38">
          <cell r="E38">
            <v>41609</v>
          </cell>
        </row>
        <row r="39">
          <cell r="E39">
            <v>41640</v>
          </cell>
        </row>
        <row r="40">
          <cell r="E40">
            <v>41671</v>
          </cell>
        </row>
        <row r="41">
          <cell r="E41">
            <v>41699</v>
          </cell>
        </row>
        <row r="42">
          <cell r="E42">
            <v>41730</v>
          </cell>
        </row>
        <row r="43">
          <cell r="E43">
            <v>41760</v>
          </cell>
        </row>
        <row r="44">
          <cell r="E44">
            <v>41791</v>
          </cell>
        </row>
        <row r="45">
          <cell r="E45">
            <v>41821</v>
          </cell>
        </row>
        <row r="46">
          <cell r="E46">
            <v>41852</v>
          </cell>
        </row>
        <row r="47">
          <cell r="E47">
            <v>41883</v>
          </cell>
        </row>
        <row r="48">
          <cell r="E48">
            <v>41913</v>
          </cell>
        </row>
        <row r="49">
          <cell r="E49">
            <v>41944</v>
          </cell>
        </row>
        <row r="50">
          <cell r="E50">
            <v>41974</v>
          </cell>
        </row>
        <row r="51">
          <cell r="E51">
            <v>42005</v>
          </cell>
        </row>
        <row r="52">
          <cell r="E52">
            <v>42036</v>
          </cell>
        </row>
        <row r="53">
          <cell r="E53">
            <v>42064</v>
          </cell>
        </row>
        <row r="54">
          <cell r="E54">
            <v>42095</v>
          </cell>
        </row>
        <row r="55">
          <cell r="E55">
            <v>42125</v>
          </cell>
        </row>
        <row r="56">
          <cell r="E56">
            <v>42156</v>
          </cell>
        </row>
        <row r="57">
          <cell r="E57">
            <v>42186</v>
          </cell>
        </row>
        <row r="58">
          <cell r="E58">
            <v>42217</v>
          </cell>
        </row>
        <row r="59">
          <cell r="E59">
            <v>42248</v>
          </cell>
        </row>
        <row r="60">
          <cell r="E60">
            <v>42278</v>
          </cell>
        </row>
        <row r="61">
          <cell r="E61">
            <v>42309</v>
          </cell>
        </row>
        <row r="62">
          <cell r="E62">
            <v>42339</v>
          </cell>
        </row>
        <row r="63">
          <cell r="E63">
            <v>42370</v>
          </cell>
        </row>
        <row r="64">
          <cell r="E64">
            <v>42401</v>
          </cell>
        </row>
        <row r="65">
          <cell r="E65">
            <v>42430</v>
          </cell>
        </row>
        <row r="66">
          <cell r="E66">
            <v>42461</v>
          </cell>
        </row>
        <row r="67">
          <cell r="E67">
            <v>42491</v>
          </cell>
        </row>
        <row r="68">
          <cell r="E68">
            <v>42522</v>
          </cell>
        </row>
        <row r="69">
          <cell r="E69">
            <v>42552</v>
          </cell>
        </row>
        <row r="70">
          <cell r="E70">
            <v>42583</v>
          </cell>
        </row>
        <row r="71">
          <cell r="E71">
            <v>42614</v>
          </cell>
        </row>
        <row r="72">
          <cell r="E72">
            <v>42644</v>
          </cell>
        </row>
        <row r="73">
          <cell r="E73">
            <v>42675</v>
          </cell>
        </row>
        <row r="74">
          <cell r="E74">
            <v>42705</v>
          </cell>
        </row>
        <row r="75">
          <cell r="E75">
            <v>42736</v>
          </cell>
        </row>
        <row r="76">
          <cell r="E76">
            <v>42767</v>
          </cell>
        </row>
        <row r="77">
          <cell r="E77">
            <v>42795</v>
          </cell>
        </row>
        <row r="78">
          <cell r="E78">
            <v>42826</v>
          </cell>
        </row>
        <row r="79">
          <cell r="E79">
            <v>42856</v>
          </cell>
        </row>
        <row r="80">
          <cell r="E80">
            <v>42887</v>
          </cell>
        </row>
        <row r="81">
          <cell r="E81">
            <v>42917</v>
          </cell>
        </row>
        <row r="82">
          <cell r="E82">
            <v>42948</v>
          </cell>
        </row>
        <row r="83">
          <cell r="E83">
            <v>42979</v>
          </cell>
        </row>
        <row r="84">
          <cell r="E84">
            <v>43009</v>
          </cell>
        </row>
        <row r="85">
          <cell r="E85">
            <v>43040</v>
          </cell>
        </row>
        <row r="86">
          <cell r="E86">
            <v>43070</v>
          </cell>
        </row>
        <row r="87">
          <cell r="E87">
            <v>43101</v>
          </cell>
        </row>
        <row r="88">
          <cell r="E88">
            <v>43132</v>
          </cell>
        </row>
        <row r="89">
          <cell r="E89">
            <v>43160</v>
          </cell>
        </row>
        <row r="90">
          <cell r="E90">
            <v>43191</v>
          </cell>
        </row>
        <row r="91">
          <cell r="E91">
            <v>43221</v>
          </cell>
        </row>
        <row r="92">
          <cell r="E92">
            <v>43252</v>
          </cell>
        </row>
        <row r="93">
          <cell r="E93">
            <v>43282</v>
          </cell>
        </row>
        <row r="94">
          <cell r="E94">
            <v>43313</v>
          </cell>
        </row>
        <row r="95">
          <cell r="E95">
            <v>43344</v>
          </cell>
        </row>
        <row r="96">
          <cell r="E96">
            <v>43374</v>
          </cell>
        </row>
        <row r="97">
          <cell r="E97">
            <v>43405</v>
          </cell>
        </row>
        <row r="98">
          <cell r="E98">
            <v>43435</v>
          </cell>
        </row>
        <row r="99">
          <cell r="E99">
            <v>43466</v>
          </cell>
        </row>
        <row r="100">
          <cell r="E100">
            <v>43497</v>
          </cell>
        </row>
        <row r="101">
          <cell r="E101">
            <v>43525</v>
          </cell>
        </row>
        <row r="102">
          <cell r="E102">
            <v>43556</v>
          </cell>
        </row>
        <row r="103">
          <cell r="E103">
            <v>43586</v>
          </cell>
        </row>
        <row r="104">
          <cell r="E104">
            <v>43617</v>
          </cell>
        </row>
        <row r="105">
          <cell r="E105">
            <v>43647</v>
          </cell>
        </row>
        <row r="106">
          <cell r="E106">
            <v>43678</v>
          </cell>
        </row>
        <row r="107">
          <cell r="E107">
            <v>43709</v>
          </cell>
        </row>
        <row r="108">
          <cell r="E108">
            <v>43739</v>
          </cell>
        </row>
        <row r="109">
          <cell r="E109">
            <v>43770</v>
          </cell>
        </row>
        <row r="110">
          <cell r="E110">
            <v>43800</v>
          </cell>
        </row>
        <row r="111">
          <cell r="E111">
            <v>43831</v>
          </cell>
        </row>
        <row r="112">
          <cell r="E112">
            <v>43862</v>
          </cell>
        </row>
        <row r="113">
          <cell r="E113">
            <v>43891</v>
          </cell>
        </row>
        <row r="114">
          <cell r="E114">
            <v>43922</v>
          </cell>
        </row>
        <row r="115">
          <cell r="E115">
            <v>43952</v>
          </cell>
        </row>
        <row r="116">
          <cell r="E116">
            <v>43983</v>
          </cell>
        </row>
        <row r="117">
          <cell r="E117">
            <v>44013</v>
          </cell>
        </row>
        <row r="118">
          <cell r="E118">
            <v>44044</v>
          </cell>
        </row>
        <row r="119">
          <cell r="E119">
            <v>44075</v>
          </cell>
        </row>
        <row r="120">
          <cell r="E120">
            <v>44105</v>
          </cell>
        </row>
        <row r="121">
          <cell r="E121">
            <v>44136</v>
          </cell>
        </row>
        <row r="122">
          <cell r="E122">
            <v>44166</v>
          </cell>
        </row>
        <row r="123">
          <cell r="E123">
            <v>44197</v>
          </cell>
        </row>
        <row r="124">
          <cell r="E124">
            <v>44228</v>
          </cell>
        </row>
        <row r="125">
          <cell r="E125">
            <v>44256</v>
          </cell>
        </row>
        <row r="126">
          <cell r="E126">
            <v>44287</v>
          </cell>
        </row>
        <row r="127">
          <cell r="E127">
            <v>44317</v>
          </cell>
        </row>
        <row r="128">
          <cell r="E128">
            <v>44348</v>
          </cell>
        </row>
        <row r="129">
          <cell r="E129">
            <v>44378</v>
          </cell>
        </row>
        <row r="130">
          <cell r="E130">
            <v>44409</v>
          </cell>
        </row>
        <row r="131">
          <cell r="E131">
            <v>44440</v>
          </cell>
        </row>
        <row r="132">
          <cell r="E132">
            <v>44470</v>
          </cell>
        </row>
        <row r="133">
          <cell r="E133">
            <v>44501</v>
          </cell>
        </row>
        <row r="134">
          <cell r="E134">
            <v>44531</v>
          </cell>
        </row>
        <row r="135">
          <cell r="E135">
            <v>44562</v>
          </cell>
        </row>
        <row r="136">
          <cell r="E136">
            <v>44593</v>
          </cell>
        </row>
        <row r="137">
          <cell r="E137">
            <v>44621</v>
          </cell>
        </row>
        <row r="138">
          <cell r="E138">
            <v>44652</v>
          </cell>
        </row>
        <row r="139">
          <cell r="E139">
            <v>44682</v>
          </cell>
        </row>
        <row r="140">
          <cell r="E140">
            <v>44713</v>
          </cell>
        </row>
        <row r="141">
          <cell r="E141">
            <v>44743</v>
          </cell>
        </row>
        <row r="142">
          <cell r="E142">
            <v>44774</v>
          </cell>
        </row>
        <row r="143">
          <cell r="E143">
            <v>44805</v>
          </cell>
        </row>
        <row r="144">
          <cell r="E144">
            <v>44835</v>
          </cell>
        </row>
        <row r="145">
          <cell r="E145">
            <v>44866</v>
          </cell>
        </row>
        <row r="146">
          <cell r="E146">
            <v>44896</v>
          </cell>
        </row>
        <row r="147">
          <cell r="E147">
            <v>44927</v>
          </cell>
        </row>
        <row r="148">
          <cell r="E148">
            <v>44958</v>
          </cell>
        </row>
        <row r="149">
          <cell r="E149">
            <v>44986</v>
          </cell>
        </row>
        <row r="150">
          <cell r="E150">
            <v>45017</v>
          </cell>
        </row>
        <row r="151">
          <cell r="E151">
            <v>45047</v>
          </cell>
        </row>
        <row r="152">
          <cell r="E152">
            <v>45078</v>
          </cell>
        </row>
        <row r="153">
          <cell r="E153">
            <v>45108</v>
          </cell>
        </row>
        <row r="154">
          <cell r="E154">
            <v>45139</v>
          </cell>
        </row>
        <row r="155">
          <cell r="E155">
            <v>45170</v>
          </cell>
        </row>
        <row r="156">
          <cell r="E156">
            <v>45200</v>
          </cell>
        </row>
        <row r="157">
          <cell r="E157">
            <v>45231</v>
          </cell>
        </row>
        <row r="158">
          <cell r="E158">
            <v>45261</v>
          </cell>
        </row>
        <row r="159">
          <cell r="E159">
            <v>45292</v>
          </cell>
        </row>
        <row r="160">
          <cell r="E160">
            <v>45323</v>
          </cell>
        </row>
      </sheetData>
      <sheetData sheetId="21"/>
      <sheetData sheetId="22"/>
      <sheetData sheetId="23"/>
      <sheetData sheetId="24"/>
      <sheetData sheetId="25"/>
      <sheetData sheetId="26"/>
      <sheetData sheetId="27">
        <row r="3">
          <cell r="D3">
            <v>1000</v>
          </cell>
        </row>
        <row r="4">
          <cell r="D4">
            <v>140</v>
          </cell>
        </row>
        <row r="5">
          <cell r="D5">
            <v>10</v>
          </cell>
        </row>
        <row r="6">
          <cell r="D6">
            <v>800</v>
          </cell>
        </row>
        <row r="7">
          <cell r="D7">
            <v>30</v>
          </cell>
        </row>
        <row r="9">
          <cell r="D9">
            <v>0.1</v>
          </cell>
        </row>
      </sheetData>
      <sheetData sheetId="28"/>
      <sheetData sheetId="29"/>
      <sheetData sheetId="30"/>
      <sheetData sheetId="31"/>
      <sheetData sheetId="32"/>
      <sheetData sheetId="33"/>
      <sheetData sheetId="34"/>
      <sheetData sheetId="35">
        <row r="3">
          <cell r="C3">
            <v>10</v>
          </cell>
        </row>
        <row r="9">
          <cell r="E9">
            <v>7</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6.xml"/><Relationship Id="rId3" Type="http://schemas.openxmlformats.org/officeDocument/2006/relationships/ctrlProp" Target="../ctrlProps/ctrlProp1.xml"/><Relationship Id="rId7" Type="http://schemas.openxmlformats.org/officeDocument/2006/relationships/ctrlProp" Target="../ctrlProps/ctrlProp5.xml"/><Relationship Id="rId2" Type="http://schemas.openxmlformats.org/officeDocument/2006/relationships/vmlDrawing" Target="../drawings/vmlDrawing1.vml"/><Relationship Id="rId1" Type="http://schemas.openxmlformats.org/officeDocument/2006/relationships/drawing" Target="../drawings/drawing1.xml"/><Relationship Id="rId6" Type="http://schemas.openxmlformats.org/officeDocument/2006/relationships/ctrlProp" Target="../ctrlProps/ctrlProp4.xml"/><Relationship Id="rId5" Type="http://schemas.openxmlformats.org/officeDocument/2006/relationships/ctrlProp" Target="../ctrlProps/ctrlProp3.xml"/><Relationship Id="rId10" Type="http://schemas.openxmlformats.org/officeDocument/2006/relationships/comments" Target="../comments1.xml"/><Relationship Id="rId4" Type="http://schemas.openxmlformats.org/officeDocument/2006/relationships/ctrlProp" Target="../ctrlProps/ctrlProp2.xml"/><Relationship Id="rId9" Type="http://schemas.openxmlformats.org/officeDocument/2006/relationships/ctrlProp" Target="../ctrlProps/ctrlProp7.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3.xml"/><Relationship Id="rId13" Type="http://schemas.openxmlformats.org/officeDocument/2006/relationships/ctrlProp" Target="../ctrlProps/ctrlProp18.xml"/><Relationship Id="rId3" Type="http://schemas.openxmlformats.org/officeDocument/2006/relationships/ctrlProp" Target="../ctrlProps/ctrlProp8.xml"/><Relationship Id="rId7" Type="http://schemas.openxmlformats.org/officeDocument/2006/relationships/ctrlProp" Target="../ctrlProps/ctrlProp12.xml"/><Relationship Id="rId12" Type="http://schemas.openxmlformats.org/officeDocument/2006/relationships/ctrlProp" Target="../ctrlProps/ctrlProp17.xml"/><Relationship Id="rId2" Type="http://schemas.openxmlformats.org/officeDocument/2006/relationships/vmlDrawing" Target="../drawings/vmlDrawing2.vml"/><Relationship Id="rId1" Type="http://schemas.openxmlformats.org/officeDocument/2006/relationships/drawing" Target="../drawings/drawing2.xml"/><Relationship Id="rId6" Type="http://schemas.openxmlformats.org/officeDocument/2006/relationships/ctrlProp" Target="../ctrlProps/ctrlProp11.xml"/><Relationship Id="rId11" Type="http://schemas.openxmlformats.org/officeDocument/2006/relationships/ctrlProp" Target="../ctrlProps/ctrlProp16.xml"/><Relationship Id="rId5" Type="http://schemas.openxmlformats.org/officeDocument/2006/relationships/ctrlProp" Target="../ctrlProps/ctrlProp10.xml"/><Relationship Id="rId15" Type="http://schemas.openxmlformats.org/officeDocument/2006/relationships/comments" Target="../comments2.xml"/><Relationship Id="rId10" Type="http://schemas.openxmlformats.org/officeDocument/2006/relationships/ctrlProp" Target="../ctrlProps/ctrlProp15.xml"/><Relationship Id="rId4" Type="http://schemas.openxmlformats.org/officeDocument/2006/relationships/ctrlProp" Target="../ctrlProps/ctrlProp9.xml"/><Relationship Id="rId9" Type="http://schemas.openxmlformats.org/officeDocument/2006/relationships/ctrlProp" Target="../ctrlProps/ctrlProp14.xml"/><Relationship Id="rId14"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9"/>
  <dimension ref="A1:IV276"/>
  <sheetViews>
    <sheetView tabSelected="1" topLeftCell="A148" workbookViewId="0">
      <selection activeCell="E150" sqref="E150"/>
    </sheetView>
  </sheetViews>
  <sheetFormatPr defaultRowHeight="15" outlineLevelCol="1" x14ac:dyDescent="0.25"/>
  <cols>
    <col min="1" max="3" width="1.7109375" style="2" customWidth="1"/>
    <col min="4" max="4" width="34.7109375" style="2" customWidth="1"/>
    <col min="5" max="5" width="11" style="2" customWidth="1"/>
    <col min="6" max="20" width="9.140625" style="2"/>
    <col min="21" max="21" width="9.140625" style="2" customWidth="1"/>
    <col min="22" max="256" width="9.140625" style="2" hidden="1" customWidth="1" outlineLevel="1"/>
    <col min="257" max="16384" width="9.140625" style="2"/>
  </cols>
  <sheetData>
    <row r="1" spans="1:20" x14ac:dyDescent="0.25">
      <c r="A1" s="1" t="s">
        <v>0</v>
      </c>
    </row>
    <row r="2" spans="1:20" x14ac:dyDescent="0.25">
      <c r="A2" s="1"/>
    </row>
    <row r="3" spans="1:20" x14ac:dyDescent="0.25">
      <c r="A3" s="1"/>
    </row>
    <row r="4" spans="1:20" x14ac:dyDescent="0.25">
      <c r="A4" s="1"/>
    </row>
    <row r="5" spans="1:20" x14ac:dyDescent="0.25">
      <c r="A5" s="1"/>
      <c r="B5" s="2" t="s">
        <v>1</v>
      </c>
      <c r="E5" s="3">
        <f>IRR(F10:T10)</f>
        <v>7.4475672566671314E-2</v>
      </c>
    </row>
    <row r="6" spans="1:20" x14ac:dyDescent="0.25">
      <c r="A6" s="1"/>
      <c r="B6" s="2" t="s">
        <v>2</v>
      </c>
      <c r="E6" s="3">
        <f>E114</f>
        <v>0.17996036893697598</v>
      </c>
    </row>
    <row r="7" spans="1:20" x14ac:dyDescent="0.25">
      <c r="A7" s="1"/>
    </row>
    <row r="8" spans="1:20" x14ac:dyDescent="0.25">
      <c r="A8" s="1"/>
      <c r="B8" s="2" t="s">
        <v>3</v>
      </c>
      <c r="E8" s="4"/>
      <c r="F8" s="5">
        <v>100</v>
      </c>
      <c r="G8" s="5">
        <v>150</v>
      </c>
      <c r="H8" s="5">
        <v>150</v>
      </c>
      <c r="I8" s="5">
        <v>100</v>
      </c>
      <c r="J8" s="5">
        <v>100</v>
      </c>
    </row>
    <row r="9" spans="1:20" x14ac:dyDescent="0.25">
      <c r="A9" s="1"/>
      <c r="B9" s="2" t="s">
        <v>4</v>
      </c>
      <c r="K9" s="6">
        <v>94</v>
      </c>
      <c r="L9" s="4">
        <f t="shared" ref="L9:T9" si="0">K9*1.02</f>
        <v>95.88</v>
      </c>
      <c r="M9" s="4">
        <f t="shared" si="0"/>
        <v>97.797600000000003</v>
      </c>
      <c r="N9" s="4">
        <f t="shared" si="0"/>
        <v>99.753551999999999</v>
      </c>
      <c r="O9" s="4">
        <f t="shared" si="0"/>
        <v>101.74862304</v>
      </c>
      <c r="P9" s="4">
        <f t="shared" si="0"/>
        <v>103.7835955008</v>
      </c>
      <c r="Q9" s="4">
        <f t="shared" si="0"/>
        <v>105.859267410816</v>
      </c>
      <c r="R9" s="4">
        <f t="shared" si="0"/>
        <v>107.97645275903233</v>
      </c>
      <c r="S9" s="4">
        <f t="shared" si="0"/>
        <v>110.13598181421297</v>
      </c>
      <c r="T9" s="4">
        <f t="shared" si="0"/>
        <v>112.33870145049723</v>
      </c>
    </row>
    <row r="10" spans="1:20" x14ac:dyDescent="0.25">
      <c r="A10" s="1"/>
      <c r="B10" s="2" t="s">
        <v>5</v>
      </c>
      <c r="F10" s="4">
        <f>F9-F8</f>
        <v>-100</v>
      </c>
      <c r="G10" s="4">
        <f t="shared" ref="G10:T10" si="1">G9-G8</f>
        <v>-150</v>
      </c>
      <c r="H10" s="4">
        <f t="shared" si="1"/>
        <v>-150</v>
      </c>
      <c r="I10" s="4">
        <f t="shared" si="1"/>
        <v>-100</v>
      </c>
      <c r="J10" s="4">
        <f t="shared" si="1"/>
        <v>-100</v>
      </c>
      <c r="K10" s="4">
        <f t="shared" si="1"/>
        <v>94</v>
      </c>
      <c r="L10" s="4">
        <f t="shared" si="1"/>
        <v>95.88</v>
      </c>
      <c r="M10" s="4">
        <f t="shared" si="1"/>
        <v>97.797600000000003</v>
      </c>
      <c r="N10" s="4">
        <f t="shared" si="1"/>
        <v>99.753551999999999</v>
      </c>
      <c r="O10" s="4">
        <f t="shared" si="1"/>
        <v>101.74862304</v>
      </c>
      <c r="P10" s="4">
        <f t="shared" si="1"/>
        <v>103.7835955008</v>
      </c>
      <c r="Q10" s="4">
        <f t="shared" si="1"/>
        <v>105.859267410816</v>
      </c>
      <c r="R10" s="4">
        <f t="shared" si="1"/>
        <v>107.97645275903233</v>
      </c>
      <c r="S10" s="4">
        <f t="shared" si="1"/>
        <v>110.13598181421297</v>
      </c>
      <c r="T10" s="4">
        <f t="shared" si="1"/>
        <v>112.33870145049723</v>
      </c>
    </row>
    <row r="11" spans="1:20" x14ac:dyDescent="0.25">
      <c r="A11" s="1"/>
    </row>
    <row r="12" spans="1:20" x14ac:dyDescent="0.25">
      <c r="A12" s="1"/>
      <c r="B12" s="2" t="s">
        <v>6</v>
      </c>
      <c r="E12" s="7" t="s">
        <v>7</v>
      </c>
      <c r="F12" s="7" t="s">
        <v>8</v>
      </c>
      <c r="G12" s="7" t="s">
        <v>9</v>
      </c>
      <c r="H12" s="7" t="s">
        <v>10</v>
      </c>
      <c r="I12" s="7" t="s">
        <v>11</v>
      </c>
      <c r="J12" s="7" t="s">
        <v>12</v>
      </c>
      <c r="K12" s="2" t="s">
        <v>13</v>
      </c>
      <c r="L12" s="7" t="s">
        <v>14</v>
      </c>
      <c r="M12" s="7" t="s">
        <v>15</v>
      </c>
      <c r="N12" s="7" t="s">
        <v>16</v>
      </c>
      <c r="O12" s="7" t="s">
        <v>17</v>
      </c>
      <c r="P12" s="7" t="s">
        <v>18</v>
      </c>
      <c r="Q12" s="7" t="s">
        <v>18</v>
      </c>
      <c r="R12" s="7" t="s">
        <v>19</v>
      </c>
      <c r="S12" s="2" t="s">
        <v>20</v>
      </c>
    </row>
    <row r="13" spans="1:20" x14ac:dyDescent="0.25">
      <c r="A13" s="1"/>
      <c r="E13" s="7" t="s">
        <v>21</v>
      </c>
      <c r="F13" s="7" t="s">
        <v>22</v>
      </c>
      <c r="G13" s="7" t="s">
        <v>23</v>
      </c>
      <c r="H13" s="7" t="s">
        <v>24</v>
      </c>
      <c r="I13" s="7" t="s">
        <v>25</v>
      </c>
      <c r="J13" s="7" t="s">
        <v>10</v>
      </c>
      <c r="K13" s="2" t="s">
        <v>26</v>
      </c>
      <c r="L13" s="7" t="s">
        <v>10</v>
      </c>
      <c r="M13" s="7" t="s">
        <v>27</v>
      </c>
      <c r="N13" s="7" t="s">
        <v>28</v>
      </c>
      <c r="O13" s="7" t="s">
        <v>21</v>
      </c>
      <c r="P13" s="7" t="s">
        <v>8</v>
      </c>
      <c r="Q13" s="7" t="s">
        <v>23</v>
      </c>
      <c r="R13" s="7" t="s">
        <v>10</v>
      </c>
      <c r="S13" s="7" t="s">
        <v>21</v>
      </c>
    </row>
    <row r="14" spans="1:20" x14ac:dyDescent="0.25">
      <c r="C14" s="2" t="s">
        <v>29</v>
      </c>
      <c r="E14" s="8" t="b">
        <v>1</v>
      </c>
      <c r="F14" s="6">
        <v>100</v>
      </c>
      <c r="G14" s="4">
        <f>IF(E14,G16-G15,F14)</f>
        <v>88.15154591165367</v>
      </c>
      <c r="H14" s="9">
        <f>G14/G16</f>
        <v>0.12689589412471192</v>
      </c>
      <c r="J14" s="8" t="b">
        <v>0</v>
      </c>
      <c r="K14" s="4">
        <f>G14</f>
        <v>88.15154591165367</v>
      </c>
      <c r="L14" s="9">
        <f>K14/$K$16</f>
        <v>0.14691924318608945</v>
      </c>
      <c r="M14" s="8">
        <v>-1</v>
      </c>
    </row>
    <row r="15" spans="1:20" x14ac:dyDescent="0.25">
      <c r="C15" s="2" t="s">
        <v>30</v>
      </c>
      <c r="E15" s="2" t="b">
        <f>NOT(E14)</f>
        <v>0</v>
      </c>
      <c r="F15" s="4">
        <f>E107</f>
        <v>606.52456256053449</v>
      </c>
      <c r="G15" s="4">
        <f>IF(E15,G16-G14,F15)</f>
        <v>606.52456256053449</v>
      </c>
      <c r="H15" s="9">
        <f>G15/G16</f>
        <v>0.87310410587528808</v>
      </c>
      <c r="I15" s="10">
        <v>0.85</v>
      </c>
      <c r="J15" s="2" t="b">
        <f>J14</f>
        <v>0</v>
      </c>
      <c r="K15" s="4">
        <f>G15-F31</f>
        <v>511.84845408834633</v>
      </c>
      <c r="L15" s="9">
        <f>K15/$K$16</f>
        <v>0.8530807568139106</v>
      </c>
      <c r="N15" s="10">
        <v>0.05</v>
      </c>
      <c r="O15" s="8" t="b">
        <v>1</v>
      </c>
      <c r="P15" s="8">
        <v>1.3</v>
      </c>
      <c r="Q15" s="4">
        <f>F23</f>
        <v>1.2</v>
      </c>
      <c r="R15" s="10">
        <v>0.01</v>
      </c>
      <c r="S15" s="8" t="b">
        <v>1</v>
      </c>
    </row>
    <row r="16" spans="1:20" ht="15.75" thickBot="1" x14ac:dyDescent="0.3">
      <c r="D16" s="11" t="s">
        <v>31</v>
      </c>
      <c r="E16" s="11"/>
      <c r="F16" s="12">
        <f>SUM(F14:F15)</f>
        <v>706.52456256053449</v>
      </c>
      <c r="G16" s="12">
        <f>to</f>
        <v>694.67610847218816</v>
      </c>
      <c r="H16" s="9">
        <f>SUM(H14:H15)</f>
        <v>1</v>
      </c>
      <c r="K16" s="4">
        <f>SUM(K14:K15)</f>
        <v>600</v>
      </c>
    </row>
    <row r="17" spans="2:12" ht="15.75" thickTop="1" x14ac:dyDescent="0.25">
      <c r="G17" s="4"/>
    </row>
    <row r="18" spans="2:12" x14ac:dyDescent="0.25">
      <c r="B18" s="2" t="s">
        <v>32</v>
      </c>
      <c r="E18" s="2" t="s">
        <v>33</v>
      </c>
      <c r="F18" s="13">
        <v>694.67610847218816</v>
      </c>
    </row>
    <row r="19" spans="2:12" x14ac:dyDescent="0.25">
      <c r="B19" s="2" t="s">
        <v>32</v>
      </c>
      <c r="E19" s="2" t="s">
        <v>34</v>
      </c>
      <c r="F19" s="4">
        <f>F48</f>
        <v>694.67610847218805</v>
      </c>
      <c r="G19" s="4"/>
    </row>
    <row r="20" spans="2:12" x14ac:dyDescent="0.25">
      <c r="B20" s="2" t="s">
        <v>35</v>
      </c>
      <c r="E20" s="2" t="s">
        <v>36</v>
      </c>
      <c r="F20" s="4">
        <f>G16-F48</f>
        <v>0</v>
      </c>
    </row>
    <row r="21" spans="2:12" x14ac:dyDescent="0.25">
      <c r="I21" s="2" t="s">
        <v>37</v>
      </c>
      <c r="J21" s="7" t="s">
        <v>38</v>
      </c>
      <c r="K21" s="7" t="s">
        <v>9</v>
      </c>
      <c r="L21" s="2" t="s">
        <v>35</v>
      </c>
    </row>
    <row r="22" spans="2:12" x14ac:dyDescent="0.25">
      <c r="B22" s="2" t="s">
        <v>39</v>
      </c>
      <c r="F22" s="4">
        <f>MAX(E112,E109)</f>
        <v>1.3353356913386756</v>
      </c>
      <c r="I22" s="2" t="s">
        <v>25</v>
      </c>
      <c r="J22" s="4">
        <f>J88</f>
        <v>606.52456256053449</v>
      </c>
      <c r="K22" s="4">
        <f>G15</f>
        <v>606.52456256053449</v>
      </c>
      <c r="L22" s="4">
        <f>J22-K22</f>
        <v>0</v>
      </c>
    </row>
    <row r="23" spans="2:12" x14ac:dyDescent="0.25">
      <c r="B23" s="2" t="s">
        <v>40</v>
      </c>
      <c r="F23" s="6">
        <v>1.2</v>
      </c>
      <c r="I23" s="2" t="s">
        <v>27</v>
      </c>
      <c r="J23" s="4">
        <f>from</f>
        <v>694.67610847218805</v>
      </c>
      <c r="K23" s="4">
        <f>G16</f>
        <v>694.67610847218816</v>
      </c>
      <c r="L23" s="4">
        <f>J23-K23</f>
        <v>0</v>
      </c>
    </row>
    <row r="24" spans="2:12" x14ac:dyDescent="0.25">
      <c r="B24" s="2" t="s">
        <v>35</v>
      </c>
      <c r="F24" s="4">
        <f>F22-F23</f>
        <v>0.13533569133867562</v>
      </c>
      <c r="I24" s="2" t="s">
        <v>41</v>
      </c>
      <c r="J24" s="4">
        <f>SUM(F43:J43)</f>
        <v>600</v>
      </c>
      <c r="K24" s="4">
        <f>SUM(F65:J65)+SUM(F85:J85)</f>
        <v>600</v>
      </c>
      <c r="L24" s="4">
        <f>J24-K24</f>
        <v>0</v>
      </c>
    </row>
    <row r="26" spans="2:12" x14ac:dyDescent="0.25">
      <c r="B26" s="2" t="s">
        <v>35</v>
      </c>
      <c r="E26" s="2" t="s">
        <v>42</v>
      </c>
      <c r="F26" s="4">
        <f>difference</f>
        <v>0</v>
      </c>
    </row>
    <row r="27" spans="2:12" x14ac:dyDescent="0.25">
      <c r="F27" s="4"/>
    </row>
    <row r="28" spans="2:12" x14ac:dyDescent="0.25">
      <c r="B28" s="2" t="s">
        <v>43</v>
      </c>
      <c r="F28" s="4"/>
    </row>
    <row r="29" spans="2:12" x14ac:dyDescent="0.25">
      <c r="C29" s="2" t="s">
        <v>44</v>
      </c>
      <c r="F29" s="4">
        <f>E43</f>
        <v>600</v>
      </c>
    </row>
    <row r="30" spans="2:12" x14ac:dyDescent="0.25">
      <c r="C30" s="2" t="s">
        <v>45</v>
      </c>
      <c r="F30" s="4">
        <f>to</f>
        <v>694.67610847218816</v>
      </c>
    </row>
    <row r="31" spans="2:12" x14ac:dyDescent="0.25">
      <c r="C31" s="2" t="s">
        <v>46</v>
      </c>
      <c r="F31" s="4">
        <f>F30-F29</f>
        <v>94.676108472188162</v>
      </c>
    </row>
    <row r="32" spans="2:12" x14ac:dyDescent="0.25">
      <c r="C32" s="2" t="s">
        <v>47</v>
      </c>
      <c r="F32" s="4">
        <f>F30-G14</f>
        <v>606.52456256053449</v>
      </c>
    </row>
    <row r="33" spans="2:10" x14ac:dyDescent="0.25">
      <c r="C33" s="2" t="s">
        <v>48</v>
      </c>
      <c r="F33" s="4">
        <f>F32-F31</f>
        <v>511.84845408834633</v>
      </c>
    </row>
    <row r="34" spans="2:10" x14ac:dyDescent="0.25">
      <c r="C34" s="2" t="s">
        <v>49</v>
      </c>
      <c r="F34" s="14">
        <f>F32/F30</f>
        <v>0.87310410587528808</v>
      </c>
    </row>
    <row r="35" spans="2:10" x14ac:dyDescent="0.25">
      <c r="C35" s="2" t="s">
        <v>50</v>
      </c>
      <c r="F35" s="14">
        <f>I15</f>
        <v>0.85</v>
      </c>
    </row>
    <row r="36" spans="2:10" x14ac:dyDescent="0.25">
      <c r="C36" s="2" t="s">
        <v>51</v>
      </c>
      <c r="F36" s="4">
        <f>F30*F35</f>
        <v>590.47469220135997</v>
      </c>
    </row>
    <row r="39" spans="2:10" x14ac:dyDescent="0.25">
      <c r="B39" s="2" t="s">
        <v>52</v>
      </c>
    </row>
    <row r="40" spans="2:10" x14ac:dyDescent="0.25">
      <c r="C40" s="2" t="s">
        <v>53</v>
      </c>
      <c r="F40" s="2">
        <f>G40-1</f>
        <v>-4</v>
      </c>
      <c r="G40" s="2">
        <f>H40-1</f>
        <v>-3</v>
      </c>
      <c r="H40" s="2">
        <f>I40-1</f>
        <v>-2</v>
      </c>
      <c r="I40" s="2">
        <f>J40-1</f>
        <v>-1</v>
      </c>
      <c r="J40" s="8">
        <v>0</v>
      </c>
    </row>
    <row r="41" spans="2:10" x14ac:dyDescent="0.25">
      <c r="C41" s="2" t="s">
        <v>54</v>
      </c>
      <c r="F41" s="2" t="b">
        <f>F40=0</f>
        <v>0</v>
      </c>
      <c r="G41" s="2" t="b">
        <f>G40=0</f>
        <v>0</v>
      </c>
      <c r="H41" s="2" t="b">
        <f>H40=0</f>
        <v>0</v>
      </c>
      <c r="I41" s="2" t="b">
        <f>I40=0</f>
        <v>0</v>
      </c>
      <c r="J41" s="2" t="b">
        <f>J40=0</f>
        <v>1</v>
      </c>
    </row>
    <row r="43" spans="2:10" x14ac:dyDescent="0.25">
      <c r="C43" s="15" t="s">
        <v>55</v>
      </c>
      <c r="D43" s="15"/>
      <c r="E43" s="4">
        <f>SUM(F43:J43)</f>
        <v>600</v>
      </c>
      <c r="F43" s="16">
        <f>F8</f>
        <v>100</v>
      </c>
      <c r="G43" s="16">
        <f>G8</f>
        <v>150</v>
      </c>
      <c r="H43" s="16">
        <f>H8</f>
        <v>150</v>
      </c>
      <c r="I43" s="16">
        <f>I8</f>
        <v>100</v>
      </c>
      <c r="J43" s="16">
        <f>J8</f>
        <v>100</v>
      </c>
    </row>
    <row r="44" spans="2:10" x14ac:dyDescent="0.25">
      <c r="C44" s="17" t="s">
        <v>56</v>
      </c>
      <c r="E44" s="4">
        <f>SUM(F44:J44)</f>
        <v>64.349880344161292</v>
      </c>
      <c r="F44" s="4">
        <f>F92</f>
        <v>0</v>
      </c>
      <c r="G44" s="4">
        <f>G92</f>
        <v>5.3032622812802677</v>
      </c>
      <c r="H44" s="4">
        <f>H92</f>
        <v>13.37168767662455</v>
      </c>
      <c r="I44" s="4">
        <f>I92</f>
        <v>21.843534341736046</v>
      </c>
      <c r="J44" s="4">
        <f>J92</f>
        <v>23.831396044520432</v>
      </c>
    </row>
    <row r="45" spans="2:10" x14ac:dyDescent="0.25">
      <c r="C45" s="17" t="s">
        <v>57</v>
      </c>
      <c r="E45" s="4"/>
      <c r="F45" s="4">
        <f>F97</f>
        <v>6.0652456256053453</v>
      </c>
      <c r="G45" s="4">
        <f>G97</f>
        <v>6.0652456256053453</v>
      </c>
      <c r="H45" s="4">
        <f>H97</f>
        <v>6.0652456256053453</v>
      </c>
      <c r="I45" s="4">
        <f>I97</f>
        <v>6.0652456256053453</v>
      </c>
      <c r="J45" s="4">
        <f>J97</f>
        <v>6.0652456256053453</v>
      </c>
    </row>
    <row r="46" spans="2:10" ht="15.75" thickBot="1" x14ac:dyDescent="0.3">
      <c r="C46" s="18" t="s">
        <v>58</v>
      </c>
      <c r="D46" s="11"/>
      <c r="E46" s="12">
        <f>SUM(E43:E44)</f>
        <v>664.34988034416131</v>
      </c>
      <c r="F46" s="12">
        <f>SUM(F43:F45)</f>
        <v>106.06524562560534</v>
      </c>
      <c r="G46" s="12">
        <f t="shared" ref="G46:J46" si="2">SUM(G43:G45)</f>
        <v>161.36850790688561</v>
      </c>
      <c r="H46" s="12">
        <f t="shared" si="2"/>
        <v>169.4369333022299</v>
      </c>
      <c r="I46" s="12">
        <f t="shared" si="2"/>
        <v>127.90877996734139</v>
      </c>
      <c r="J46" s="12">
        <f t="shared" si="2"/>
        <v>129.89664167012577</v>
      </c>
    </row>
    <row r="47" spans="2:10" ht="15.75" thickTop="1" x14ac:dyDescent="0.25">
      <c r="E47" s="4"/>
    </row>
    <row r="48" spans="2:10" x14ac:dyDescent="0.25">
      <c r="C48" s="2" t="s">
        <v>59</v>
      </c>
      <c r="E48" s="4"/>
      <c r="F48" s="4">
        <f>SUM(F46:J46)</f>
        <v>694.67610847218805</v>
      </c>
    </row>
    <row r="50" spans="3:14" x14ac:dyDescent="0.25">
      <c r="C50" s="2" t="s">
        <v>60</v>
      </c>
    </row>
    <row r="51" spans="3:14" x14ac:dyDescent="0.25">
      <c r="D51" s="2" t="s">
        <v>61</v>
      </c>
      <c r="F51" s="2" t="b">
        <f>F40&gt;=$M$14</f>
        <v>0</v>
      </c>
      <c r="G51" s="2" t="b">
        <f>G40&gt;=$M$14</f>
        <v>0</v>
      </c>
      <c r="H51" s="2" t="b">
        <f>H40&gt;=$M$14</f>
        <v>0</v>
      </c>
      <c r="I51" s="2" t="b">
        <f>I40&gt;=$M$14</f>
        <v>1</v>
      </c>
      <c r="J51" s="2" t="b">
        <f>J40&gt;=$M$14</f>
        <v>1</v>
      </c>
    </row>
    <row r="52" spans="3:14" x14ac:dyDescent="0.25">
      <c r="D52" s="2" t="s">
        <v>62</v>
      </c>
      <c r="F52" s="4">
        <f>F51*$G$14</f>
        <v>0</v>
      </c>
      <c r="G52" s="4">
        <f>G51*$G$14</f>
        <v>0</v>
      </c>
      <c r="H52" s="4">
        <f>H51*$G$14</f>
        <v>0</v>
      </c>
      <c r="I52" s="4">
        <f>I51*$G$14</f>
        <v>88.15154591165367</v>
      </c>
      <c r="J52" s="4">
        <f>J51*$G$14</f>
        <v>88.15154591165367</v>
      </c>
    </row>
    <row r="53" spans="3:14" x14ac:dyDescent="0.25">
      <c r="D53" s="2" t="s">
        <v>63</v>
      </c>
      <c r="F53" s="4">
        <f>F64</f>
        <v>0</v>
      </c>
      <c r="G53" s="4">
        <f>G64</f>
        <v>0</v>
      </c>
      <c r="H53" s="4">
        <f>H64</f>
        <v>0</v>
      </c>
      <c r="I53" s="4">
        <f>I64</f>
        <v>0</v>
      </c>
      <c r="J53" s="4">
        <f>J64</f>
        <v>88.15154591165367</v>
      </c>
    </row>
    <row r="54" spans="3:14" x14ac:dyDescent="0.25">
      <c r="D54" s="2" t="s">
        <v>64</v>
      </c>
      <c r="F54" s="4">
        <f>F52-F53</f>
        <v>0</v>
      </c>
      <c r="G54" s="4">
        <f>G52-G53</f>
        <v>0</v>
      </c>
      <c r="H54" s="4">
        <f>H52-H53</f>
        <v>0</v>
      </c>
      <c r="I54" s="4">
        <f>I52-I53</f>
        <v>88.15154591165367</v>
      </c>
      <c r="J54" s="4">
        <f>J52-J53</f>
        <v>0</v>
      </c>
    </row>
    <row r="56" spans="3:14" x14ac:dyDescent="0.25">
      <c r="D56" s="2" t="s">
        <v>65</v>
      </c>
      <c r="F56" s="4">
        <f>MIN(F54,F46)</f>
        <v>0</v>
      </c>
      <c r="G56" s="4">
        <f>MIN(G54,G46)</f>
        <v>0</v>
      </c>
      <c r="H56" s="4">
        <f>MIN(H54,H46)</f>
        <v>0</v>
      </c>
      <c r="I56" s="4">
        <f>MIN(I54,I46)</f>
        <v>88.15154591165367</v>
      </c>
      <c r="J56" s="4">
        <f>MIN(J54,J46)</f>
        <v>0</v>
      </c>
    </row>
    <row r="57" spans="3:14" x14ac:dyDescent="0.25">
      <c r="F57" s="4"/>
      <c r="G57" s="4"/>
      <c r="H57" s="4"/>
      <c r="I57" s="4"/>
      <c r="J57" s="4"/>
    </row>
    <row r="58" spans="3:14" x14ac:dyDescent="0.25">
      <c r="D58" s="2" t="s">
        <v>66</v>
      </c>
      <c r="E58" s="9">
        <f>L14</f>
        <v>0.14691924318608945</v>
      </c>
      <c r="F58" s="9">
        <f>E58</f>
        <v>0.14691924318608945</v>
      </c>
      <c r="G58" s="9">
        <f>F58</f>
        <v>0.14691924318608945</v>
      </c>
      <c r="H58" s="9">
        <f>G58</f>
        <v>0.14691924318608945</v>
      </c>
      <c r="I58" s="9">
        <f>H58</f>
        <v>0.14691924318608945</v>
      </c>
      <c r="J58" s="9">
        <f>I58</f>
        <v>0.14691924318608945</v>
      </c>
    </row>
    <row r="59" spans="3:14" x14ac:dyDescent="0.25">
      <c r="D59" s="2" t="s">
        <v>67</v>
      </c>
      <c r="E59" s="9"/>
      <c r="F59" s="4">
        <f>F58*F43</f>
        <v>14.691924318608946</v>
      </c>
      <c r="G59" s="4">
        <f t="shared" ref="G59:J59" si="3">G58*G43</f>
        <v>22.037886477913418</v>
      </c>
      <c r="H59" s="4">
        <f t="shared" si="3"/>
        <v>22.037886477913418</v>
      </c>
      <c r="I59" s="4">
        <f t="shared" si="3"/>
        <v>14.691924318608946</v>
      </c>
      <c r="J59" s="4">
        <f t="shared" si="3"/>
        <v>14.691924318608946</v>
      </c>
    </row>
    <row r="60" spans="3:14" x14ac:dyDescent="0.25">
      <c r="E60" s="9"/>
      <c r="F60" s="9"/>
      <c r="G60" s="9"/>
      <c r="H60" s="9"/>
      <c r="I60" s="9"/>
      <c r="J60" s="9"/>
    </row>
    <row r="61" spans="3:14" x14ac:dyDescent="0.25">
      <c r="D61" s="2" t="s">
        <v>68</v>
      </c>
      <c r="E61" s="2" t="b">
        <f>J14</f>
        <v>0</v>
      </c>
      <c r="F61" s="2" t="b">
        <f>E61</f>
        <v>0</v>
      </c>
      <c r="G61" s="2" t="b">
        <f>F61</f>
        <v>0</v>
      </c>
      <c r="H61" s="2" t="b">
        <f>G61</f>
        <v>0</v>
      </c>
      <c r="I61" s="2" t="b">
        <f>H61</f>
        <v>0</v>
      </c>
      <c r="J61" s="2" t="b">
        <f>I61</f>
        <v>0</v>
      </c>
    </row>
    <row r="62" spans="3:14" x14ac:dyDescent="0.25">
      <c r="D62" s="2" t="s">
        <v>69</v>
      </c>
      <c r="F62" s="4">
        <f>IF(F61,F59,F56)</f>
        <v>0</v>
      </c>
      <c r="G62" s="4">
        <f t="shared" ref="G62:J62" si="4">IF(G61,G59,G56)</f>
        <v>0</v>
      </c>
      <c r="H62" s="4">
        <f t="shared" si="4"/>
        <v>0</v>
      </c>
      <c r="I62" s="4">
        <f t="shared" si="4"/>
        <v>88.15154591165367</v>
      </c>
      <c r="J62" s="4">
        <f t="shared" si="4"/>
        <v>0</v>
      </c>
      <c r="L62" s="4">
        <f>SUM(F62:J62)</f>
        <v>88.15154591165367</v>
      </c>
      <c r="M62" s="4">
        <f>L62+L79</f>
        <v>600</v>
      </c>
      <c r="N62" s="2">
        <f>L79/M62</f>
        <v>0.8530807568139106</v>
      </c>
    </row>
    <row r="64" spans="3:14" x14ac:dyDescent="0.25">
      <c r="D64" s="2" t="s">
        <v>70</v>
      </c>
      <c r="F64" s="4">
        <f>E66</f>
        <v>0</v>
      </c>
      <c r="G64" s="4">
        <f>F66</f>
        <v>0</v>
      </c>
      <c r="H64" s="4">
        <f>G66</f>
        <v>0</v>
      </c>
      <c r="I64" s="4">
        <f>H66</f>
        <v>0</v>
      </c>
      <c r="J64" s="4">
        <f>I66</f>
        <v>88.15154591165367</v>
      </c>
    </row>
    <row r="65" spans="3:12" x14ac:dyDescent="0.25">
      <c r="D65" s="19" t="s">
        <v>71</v>
      </c>
      <c r="E65" s="20"/>
      <c r="F65" s="21">
        <f>F62</f>
        <v>0</v>
      </c>
      <c r="G65" s="21">
        <f>G62</f>
        <v>0</v>
      </c>
      <c r="H65" s="21">
        <f>H62</f>
        <v>0</v>
      </c>
      <c r="I65" s="21">
        <f>I62</f>
        <v>88.15154591165367</v>
      </c>
      <c r="J65" s="21">
        <f>J62</f>
        <v>0</v>
      </c>
      <c r="K65" s="4"/>
      <c r="L65" s="4">
        <f>SUM(F65:J65)</f>
        <v>88.15154591165367</v>
      </c>
    </row>
    <row r="66" spans="3:12" x14ac:dyDescent="0.25">
      <c r="D66" s="2" t="s">
        <v>72</v>
      </c>
      <c r="F66" s="4">
        <f>F64+F65</f>
        <v>0</v>
      </c>
      <c r="G66" s="4">
        <f>G64+G65</f>
        <v>0</v>
      </c>
      <c r="H66" s="4">
        <f>H64+H65</f>
        <v>0</v>
      </c>
      <c r="I66" s="4">
        <f>I64+I65</f>
        <v>88.15154591165367</v>
      </c>
      <c r="J66" s="4">
        <f>J64+J65</f>
        <v>88.15154591165367</v>
      </c>
    </row>
    <row r="68" spans="3:12" ht="15.75" thickBot="1" x14ac:dyDescent="0.3">
      <c r="C68" s="11" t="s">
        <v>73</v>
      </c>
      <c r="D68" s="11"/>
      <c r="E68" s="11"/>
      <c r="F68" s="12">
        <f>F43-F65</f>
        <v>100</v>
      </c>
      <c r="G68" s="12">
        <f>G43-G65</f>
        <v>150</v>
      </c>
      <c r="H68" s="12">
        <f>H43-H65</f>
        <v>150</v>
      </c>
      <c r="I68" s="12">
        <f>I43-I65</f>
        <v>11.84845408834633</v>
      </c>
      <c r="J68" s="12">
        <f>J43-J65</f>
        <v>100</v>
      </c>
    </row>
    <row r="69" spans="3:12" ht="15.75" thickTop="1" x14ac:dyDescent="0.25"/>
    <row r="70" spans="3:12" x14ac:dyDescent="0.25">
      <c r="C70" s="2" t="s">
        <v>74</v>
      </c>
    </row>
    <row r="71" spans="3:12" x14ac:dyDescent="0.25">
      <c r="D71" s="2" t="s">
        <v>62</v>
      </c>
      <c r="E71" s="4">
        <f>F33</f>
        <v>511.84845408834633</v>
      </c>
      <c r="F71" s="4">
        <f>E71</f>
        <v>511.84845408834633</v>
      </c>
      <c r="G71" s="4">
        <f>F71</f>
        <v>511.84845408834633</v>
      </c>
      <c r="H71" s="4">
        <f>G71</f>
        <v>511.84845408834633</v>
      </c>
      <c r="I71" s="4">
        <f>H71</f>
        <v>511.84845408834633</v>
      </c>
      <c r="J71" s="4">
        <f>I71</f>
        <v>511.84845408834633</v>
      </c>
    </row>
    <row r="72" spans="3:12" x14ac:dyDescent="0.25">
      <c r="D72" s="2" t="s">
        <v>75</v>
      </c>
      <c r="F72" s="4">
        <f>F84</f>
        <v>0</v>
      </c>
      <c r="G72" s="4">
        <f>G84</f>
        <v>106.06524562560534</v>
      </c>
      <c r="H72" s="4">
        <f>H84</f>
        <v>267.43375353249098</v>
      </c>
      <c r="I72" s="4">
        <f>I84</f>
        <v>436.87068683472091</v>
      </c>
      <c r="J72" s="4">
        <f>J84</f>
        <v>476.62792089040863</v>
      </c>
    </row>
    <row r="73" spans="3:12" x14ac:dyDescent="0.25">
      <c r="D73" s="2" t="s">
        <v>76</v>
      </c>
      <c r="F73" s="4">
        <f>E99</f>
        <v>0</v>
      </c>
      <c r="G73" s="4">
        <f>F99</f>
        <v>6.0652456256053453</v>
      </c>
      <c r="H73" s="4">
        <f>G99</f>
        <v>17.433753532490957</v>
      </c>
      <c r="I73" s="4">
        <f>H99</f>
        <v>36.87068683472085</v>
      </c>
      <c r="J73" s="4">
        <f>I99</f>
        <v>64.779466802062245</v>
      </c>
    </row>
    <row r="74" spans="3:12" x14ac:dyDescent="0.25">
      <c r="D74" s="2" t="s">
        <v>64</v>
      </c>
      <c r="F74" s="4">
        <f>F71-F84+F73</f>
        <v>511.84845408834633</v>
      </c>
      <c r="G74" s="4">
        <f>G71-G84+G73</f>
        <v>411.84845408834633</v>
      </c>
      <c r="H74" s="4">
        <f>H71-H84+H73</f>
        <v>261.84845408834633</v>
      </c>
      <c r="I74" s="4">
        <f>I71-I84+I73</f>
        <v>111.84845408834627</v>
      </c>
      <c r="J74" s="4">
        <f>J71-J84+J73</f>
        <v>99.999999999999943</v>
      </c>
    </row>
    <row r="75" spans="3:12" x14ac:dyDescent="0.25">
      <c r="F75" s="4"/>
      <c r="G75" s="4"/>
      <c r="H75" s="4"/>
      <c r="I75" s="4"/>
      <c r="J75" s="4"/>
    </row>
    <row r="76" spans="3:12" x14ac:dyDescent="0.25">
      <c r="D76" s="2" t="s">
        <v>65</v>
      </c>
      <c r="F76" s="4">
        <f>MIN(F74,F68)</f>
        <v>100</v>
      </c>
      <c r="G76" s="4">
        <f>MIN(G74,G68)</f>
        <v>150</v>
      </c>
      <c r="H76" s="4">
        <f>MIN(H74,H68)</f>
        <v>150</v>
      </c>
      <c r="I76" s="4">
        <f>MIN(I74,I68)</f>
        <v>11.84845408834633</v>
      </c>
      <c r="J76" s="4">
        <f>MIN(J74,J68)</f>
        <v>99.999999999999943</v>
      </c>
    </row>
    <row r="77" spans="3:12" x14ac:dyDescent="0.25">
      <c r="F77" s="4"/>
      <c r="G77" s="4"/>
      <c r="H77" s="4"/>
      <c r="I77" s="4"/>
      <c r="J77" s="4"/>
    </row>
    <row r="78" spans="3:12" x14ac:dyDescent="0.25">
      <c r="D78" s="2" t="s">
        <v>66</v>
      </c>
      <c r="E78" s="3">
        <f>L15</f>
        <v>0.8530807568139106</v>
      </c>
      <c r="F78" s="3">
        <f>E78</f>
        <v>0.8530807568139106</v>
      </c>
      <c r="G78" s="3">
        <f>F78</f>
        <v>0.8530807568139106</v>
      </c>
      <c r="H78" s="3">
        <f>G78</f>
        <v>0.8530807568139106</v>
      </c>
      <c r="I78" s="3">
        <f>H78</f>
        <v>0.8530807568139106</v>
      </c>
      <c r="J78" s="3">
        <f>I78</f>
        <v>0.8530807568139106</v>
      </c>
    </row>
    <row r="79" spans="3:12" x14ac:dyDescent="0.25">
      <c r="D79" s="2" t="s">
        <v>67</v>
      </c>
      <c r="F79" s="4">
        <f>F78*F43</f>
        <v>85.30807568139106</v>
      </c>
      <c r="G79" s="4">
        <f t="shared" ref="G79:J79" si="5">G78*G43</f>
        <v>127.9621135220866</v>
      </c>
      <c r="H79" s="4">
        <f t="shared" si="5"/>
        <v>127.9621135220866</v>
      </c>
      <c r="I79" s="4">
        <f t="shared" si="5"/>
        <v>85.30807568139106</v>
      </c>
      <c r="J79" s="4">
        <f t="shared" si="5"/>
        <v>85.30807568139106</v>
      </c>
      <c r="L79" s="4">
        <f>SUM(F79:J79)</f>
        <v>511.84845408834639</v>
      </c>
    </row>
    <row r="80" spans="3:12" x14ac:dyDescent="0.25">
      <c r="F80" s="4"/>
      <c r="G80" s="4"/>
      <c r="H80" s="4"/>
      <c r="I80" s="4"/>
      <c r="J80" s="4"/>
    </row>
    <row r="81" spans="4:20" x14ac:dyDescent="0.25">
      <c r="D81" s="2" t="s">
        <v>68</v>
      </c>
      <c r="E81" s="2" t="b">
        <f>J15</f>
        <v>0</v>
      </c>
      <c r="F81" s="4" t="b">
        <f>E81</f>
        <v>0</v>
      </c>
      <c r="G81" s="4" t="b">
        <f>F81</f>
        <v>0</v>
      </c>
      <c r="H81" s="4" t="b">
        <f>G81</f>
        <v>0</v>
      </c>
      <c r="I81" s="4" t="b">
        <f>H81</f>
        <v>0</v>
      </c>
      <c r="J81" s="4" t="b">
        <f>I81</f>
        <v>0</v>
      </c>
    </row>
    <row r="82" spans="4:20" x14ac:dyDescent="0.25">
      <c r="D82" s="2" t="s">
        <v>69</v>
      </c>
      <c r="F82" s="4">
        <f>IF(F81,F79,F76)</f>
        <v>100</v>
      </c>
      <c r="G82" s="4">
        <f>IF(G81,G79,G76)</f>
        <v>150</v>
      </c>
      <c r="H82" s="4">
        <f>IF(H81,H79,H76)</f>
        <v>150</v>
      </c>
      <c r="I82" s="4">
        <f>IF(I81,I79,I76)</f>
        <v>11.84845408834633</v>
      </c>
      <c r="J82" s="4">
        <f>IF(J81,J79,J76)</f>
        <v>99.999999999999943</v>
      </c>
      <c r="L82" s="4">
        <f>SUM(F82:J82)</f>
        <v>511.84845408834627</v>
      </c>
      <c r="M82" s="4">
        <f>L82+F65</f>
        <v>511.84845408834627</v>
      </c>
    </row>
    <row r="83" spans="4:20" x14ac:dyDescent="0.25">
      <c r="F83" s="4"/>
      <c r="G83" s="4"/>
      <c r="H83" s="4"/>
      <c r="I83" s="4"/>
      <c r="J83" s="4"/>
    </row>
    <row r="84" spans="4:20" x14ac:dyDescent="0.25">
      <c r="D84" s="2" t="s">
        <v>70</v>
      </c>
      <c r="F84" s="4">
        <f>E88</f>
        <v>0</v>
      </c>
      <c r="G84" s="4">
        <f>F88</f>
        <v>106.06524562560534</v>
      </c>
      <c r="H84" s="4">
        <f>G88</f>
        <v>267.43375353249098</v>
      </c>
      <c r="I84" s="4">
        <f>H88</f>
        <v>436.87068683472091</v>
      </c>
      <c r="J84" s="4">
        <f>I88</f>
        <v>476.62792089040863</v>
      </c>
    </row>
    <row r="85" spans="4:20" x14ac:dyDescent="0.25">
      <c r="D85" s="2" t="s">
        <v>71</v>
      </c>
      <c r="F85" s="4">
        <f>F82</f>
        <v>100</v>
      </c>
      <c r="G85" s="4">
        <f>G82</f>
        <v>150</v>
      </c>
      <c r="H85" s="4">
        <f>H82</f>
        <v>150</v>
      </c>
      <c r="I85" s="4">
        <f>I82</f>
        <v>11.84845408834633</v>
      </c>
      <c r="J85" s="4">
        <f>J82</f>
        <v>99.999999999999943</v>
      </c>
      <c r="L85" s="4">
        <f>SUM(F85:J85)</f>
        <v>511.84845408834627</v>
      </c>
    </row>
    <row r="86" spans="4:20" x14ac:dyDescent="0.25">
      <c r="D86" s="2" t="s">
        <v>77</v>
      </c>
      <c r="F86" s="4">
        <f>F92</f>
        <v>0</v>
      </c>
      <c r="G86" s="4">
        <f>G92</f>
        <v>5.3032622812802677</v>
      </c>
      <c r="H86" s="4">
        <f>H92</f>
        <v>13.37168767662455</v>
      </c>
      <c r="I86" s="4">
        <f>I92</f>
        <v>21.843534341736046</v>
      </c>
      <c r="J86" s="4">
        <f>J92</f>
        <v>23.831396044520432</v>
      </c>
      <c r="L86" s="4">
        <f>SUM(F86:J86)</f>
        <v>64.349880344161292</v>
      </c>
    </row>
    <row r="87" spans="4:20" x14ac:dyDescent="0.25">
      <c r="D87" s="2" t="s">
        <v>78</v>
      </c>
      <c r="F87" s="4">
        <f>F97</f>
        <v>6.0652456256053453</v>
      </c>
      <c r="G87" s="4">
        <f>G97</f>
        <v>6.0652456256053453</v>
      </c>
      <c r="H87" s="4">
        <f>H97</f>
        <v>6.0652456256053453</v>
      </c>
      <c r="I87" s="4">
        <f>I97</f>
        <v>6.0652456256053453</v>
      </c>
      <c r="J87" s="4">
        <f>J97</f>
        <v>6.0652456256053453</v>
      </c>
      <c r="L87" s="4">
        <f>SUM(F87:J87)</f>
        <v>30.326228128026727</v>
      </c>
      <c r="T87" s="4"/>
    </row>
    <row r="88" spans="4:20" x14ac:dyDescent="0.25">
      <c r="D88" s="2" t="s">
        <v>72</v>
      </c>
      <c r="F88" s="4">
        <f>SUM(F84:F87)</f>
        <v>106.06524562560534</v>
      </c>
      <c r="G88" s="4">
        <f t="shared" ref="G88:I88" si="6">SUM(G84:G87)</f>
        <v>267.43375353249098</v>
      </c>
      <c r="H88" s="4">
        <f t="shared" si="6"/>
        <v>436.87068683472091</v>
      </c>
      <c r="I88" s="4">
        <f t="shared" si="6"/>
        <v>476.62792089040863</v>
      </c>
      <c r="J88" s="4">
        <f>SUM(J84:J87)</f>
        <v>606.52456256053449</v>
      </c>
      <c r="L88" s="4">
        <f>SUM(L85:L87)</f>
        <v>606.52456256053426</v>
      </c>
      <c r="M88" s="2">
        <f>L88/L90</f>
        <v>0.87310410587528808</v>
      </c>
    </row>
    <row r="90" spans="4:20" x14ac:dyDescent="0.25">
      <c r="D90" s="2" t="s">
        <v>79</v>
      </c>
      <c r="E90" s="14">
        <f>N15</f>
        <v>0.05</v>
      </c>
      <c r="F90" s="14">
        <f>E90</f>
        <v>0.05</v>
      </c>
      <c r="G90" s="14">
        <f>F90</f>
        <v>0.05</v>
      </c>
      <c r="H90" s="14">
        <f>G90</f>
        <v>0.05</v>
      </c>
      <c r="I90" s="14">
        <f>H90</f>
        <v>0.05</v>
      </c>
      <c r="J90" s="14">
        <f>I90</f>
        <v>0.05</v>
      </c>
      <c r="L90" s="4">
        <f>L88+L65</f>
        <v>694.67610847218793</v>
      </c>
    </row>
    <row r="91" spans="4:20" x14ac:dyDescent="0.25">
      <c r="D91" s="2" t="s">
        <v>80</v>
      </c>
      <c r="F91" s="4">
        <f>F90*F84</f>
        <v>0</v>
      </c>
      <c r="G91" s="4">
        <f>G90*G84</f>
        <v>5.3032622812802677</v>
      </c>
      <c r="H91" s="4">
        <f>H90*H84</f>
        <v>13.37168767662455</v>
      </c>
      <c r="I91" s="4">
        <f>I90*I84</f>
        <v>21.843534341736046</v>
      </c>
      <c r="J91" s="4">
        <f>J90*J84</f>
        <v>23.831396044520432</v>
      </c>
      <c r="K91" s="4"/>
    </row>
    <row r="92" spans="4:20" x14ac:dyDescent="0.25">
      <c r="D92" s="2" t="s">
        <v>81</v>
      </c>
      <c r="E92" s="2" t="b">
        <f>O15</f>
        <v>1</v>
      </c>
      <c r="F92" s="4">
        <f>$E92*F91</f>
        <v>0</v>
      </c>
      <c r="G92" s="4">
        <f>$E92*G91</f>
        <v>5.3032622812802677</v>
      </c>
      <c r="H92" s="4">
        <f>$E92*H91</f>
        <v>13.37168767662455</v>
      </c>
      <c r="I92" s="4">
        <f>$E92*I91</f>
        <v>21.843534341736046</v>
      </c>
      <c r="J92" s="4">
        <f>$E92*J91</f>
        <v>23.831396044520432</v>
      </c>
    </row>
    <row r="94" spans="4:20" x14ac:dyDescent="0.25">
      <c r="D94" s="2" t="s">
        <v>82</v>
      </c>
      <c r="E94" s="14">
        <f>R15</f>
        <v>0.01</v>
      </c>
      <c r="F94" s="14">
        <f>E94</f>
        <v>0.01</v>
      </c>
      <c r="G94" s="14">
        <f>F94</f>
        <v>0.01</v>
      </c>
      <c r="H94" s="14">
        <f>G94</f>
        <v>0.01</v>
      </c>
      <c r="I94" s="14">
        <f>H94</f>
        <v>0.01</v>
      </c>
      <c r="J94" s="14">
        <f>I94</f>
        <v>0.01</v>
      </c>
    </row>
    <row r="95" spans="4:20" x14ac:dyDescent="0.25">
      <c r="D95" s="2" t="s">
        <v>83</v>
      </c>
      <c r="E95" s="4">
        <f>G15</f>
        <v>606.52456256053449</v>
      </c>
      <c r="F95" s="4">
        <f>E95</f>
        <v>606.52456256053449</v>
      </c>
      <c r="G95" s="4">
        <f>F95</f>
        <v>606.52456256053449</v>
      </c>
      <c r="H95" s="4">
        <f>G95</f>
        <v>606.52456256053449</v>
      </c>
      <c r="I95" s="4">
        <f>H95</f>
        <v>606.52456256053449</v>
      </c>
      <c r="J95" s="4">
        <f>I95</f>
        <v>606.52456256053449</v>
      </c>
    </row>
    <row r="96" spans="4:20" x14ac:dyDescent="0.25">
      <c r="D96" s="2" t="s">
        <v>84</v>
      </c>
      <c r="F96" s="4">
        <f>F95*F94</f>
        <v>6.0652456256053453</v>
      </c>
      <c r="G96" s="4">
        <f>G95*G94</f>
        <v>6.0652456256053453</v>
      </c>
      <c r="H96" s="4">
        <f>H95*H94</f>
        <v>6.0652456256053453</v>
      </c>
      <c r="I96" s="4">
        <f>I95*I94</f>
        <v>6.0652456256053453</v>
      </c>
      <c r="J96" s="4">
        <f>J95*J94</f>
        <v>6.0652456256053453</v>
      </c>
    </row>
    <row r="97" spans="2:20" x14ac:dyDescent="0.25">
      <c r="D97" s="2" t="s">
        <v>85</v>
      </c>
      <c r="E97" s="2" t="b">
        <f>S15</f>
        <v>1</v>
      </c>
      <c r="F97" s="4">
        <f>$E97*F96</f>
        <v>6.0652456256053453</v>
      </c>
      <c r="G97" s="4">
        <f>$E97*G96</f>
        <v>6.0652456256053453</v>
      </c>
      <c r="H97" s="4">
        <f>$E97*H96</f>
        <v>6.0652456256053453</v>
      </c>
      <c r="I97" s="4">
        <f>$E97*I96</f>
        <v>6.0652456256053453</v>
      </c>
      <c r="J97" s="4">
        <f>$E97*J96</f>
        <v>6.0652456256053453</v>
      </c>
    </row>
    <row r="99" spans="2:20" x14ac:dyDescent="0.25">
      <c r="D99" s="2" t="s">
        <v>86</v>
      </c>
      <c r="F99" s="4">
        <f>E99+F92+F97</f>
        <v>6.0652456256053453</v>
      </c>
      <c r="G99" s="4">
        <f>F99+G92+G97</f>
        <v>17.433753532490957</v>
      </c>
      <c r="H99" s="4">
        <f>G99+H92+H97</f>
        <v>36.87068683472085</v>
      </c>
      <c r="I99" s="4">
        <f>H99+I92+I97</f>
        <v>64.779466802062245</v>
      </c>
      <c r="J99" s="4">
        <f>I99+J92+J97</f>
        <v>94.67610847218802</v>
      </c>
    </row>
    <row r="101" spans="2:20" x14ac:dyDescent="0.25">
      <c r="B101" s="2" t="s">
        <v>87</v>
      </c>
    </row>
    <row r="102" spans="2:20" x14ac:dyDescent="0.25">
      <c r="D102" s="2" t="s">
        <v>88</v>
      </c>
      <c r="K102" s="4">
        <f>K9</f>
        <v>94</v>
      </c>
      <c r="L102" s="4">
        <f>L9</f>
        <v>95.88</v>
      </c>
      <c r="M102" s="4">
        <f>M9</f>
        <v>97.797600000000003</v>
      </c>
      <c r="N102" s="4">
        <f>N9</f>
        <v>99.753551999999999</v>
      </c>
      <c r="O102" s="4">
        <f>O9</f>
        <v>101.74862304</v>
      </c>
      <c r="P102" s="4">
        <f>P9</f>
        <v>103.7835955008</v>
      </c>
      <c r="Q102" s="4">
        <f>Q9</f>
        <v>105.859267410816</v>
      </c>
      <c r="R102" s="4">
        <f>R9</f>
        <v>107.97645275903233</v>
      </c>
      <c r="S102" s="4">
        <f>S9</f>
        <v>110.13598181421297</v>
      </c>
      <c r="T102" s="4">
        <f>T9</f>
        <v>112.33870145049723</v>
      </c>
    </row>
    <row r="103" spans="2:20" x14ac:dyDescent="0.25">
      <c r="D103" s="2" t="s">
        <v>79</v>
      </c>
      <c r="E103" s="14">
        <f>E90</f>
        <v>0.05</v>
      </c>
      <c r="K103" s="14">
        <f>J90</f>
        <v>0.05</v>
      </c>
      <c r="L103" s="14">
        <f>K103</f>
        <v>0.05</v>
      </c>
      <c r="M103" s="14">
        <f t="shared" ref="M103:T104" si="7">L103</f>
        <v>0.05</v>
      </c>
      <c r="N103" s="14">
        <f t="shared" si="7"/>
        <v>0.05</v>
      </c>
      <c r="O103" s="14">
        <f t="shared" si="7"/>
        <v>0.05</v>
      </c>
      <c r="P103" s="14">
        <f t="shared" si="7"/>
        <v>0.05</v>
      </c>
      <c r="Q103" s="14">
        <f t="shared" si="7"/>
        <v>0.05</v>
      </c>
      <c r="R103" s="14">
        <f t="shared" si="7"/>
        <v>0.05</v>
      </c>
      <c r="S103" s="14">
        <f t="shared" si="7"/>
        <v>0.05</v>
      </c>
      <c r="T103" s="14">
        <f t="shared" si="7"/>
        <v>0.05</v>
      </c>
    </row>
    <row r="104" spans="2:20" x14ac:dyDescent="0.25">
      <c r="D104" s="2" t="s">
        <v>89</v>
      </c>
      <c r="E104" s="2">
        <f>P15</f>
        <v>1.3</v>
      </c>
      <c r="K104" s="2">
        <f>E104</f>
        <v>1.3</v>
      </c>
      <c r="L104" s="2">
        <f>K104</f>
        <v>1.3</v>
      </c>
      <c r="M104" s="2">
        <f t="shared" si="7"/>
        <v>1.3</v>
      </c>
      <c r="N104" s="2">
        <f t="shared" si="7"/>
        <v>1.3</v>
      </c>
      <c r="O104" s="2">
        <f t="shared" si="7"/>
        <v>1.3</v>
      </c>
      <c r="P104" s="2">
        <f t="shared" si="7"/>
        <v>1.3</v>
      </c>
      <c r="Q104" s="2">
        <f t="shared" si="7"/>
        <v>1.3</v>
      </c>
      <c r="R104" s="2">
        <f t="shared" si="7"/>
        <v>1.3</v>
      </c>
      <c r="S104" s="2">
        <f t="shared" si="7"/>
        <v>1.3</v>
      </c>
      <c r="T104" s="2">
        <f t="shared" si="7"/>
        <v>1.3</v>
      </c>
    </row>
    <row r="105" spans="2:20" x14ac:dyDescent="0.25">
      <c r="D105" s="2" t="s">
        <v>90</v>
      </c>
      <c r="K105" s="4">
        <f>K102/K104</f>
        <v>72.307692307692307</v>
      </c>
      <c r="L105" s="4">
        <f t="shared" ref="L105:T105" si="8">L102/L104</f>
        <v>73.753846153846155</v>
      </c>
      <c r="M105" s="4">
        <f t="shared" si="8"/>
        <v>75.228923076923081</v>
      </c>
      <c r="N105" s="4">
        <f t="shared" si="8"/>
        <v>76.733501538461539</v>
      </c>
      <c r="O105" s="4">
        <f t="shared" si="8"/>
        <v>78.268171569230759</v>
      </c>
      <c r="P105" s="4">
        <f t="shared" si="8"/>
        <v>79.833535000615385</v>
      </c>
      <c r="Q105" s="4">
        <f t="shared" si="8"/>
        <v>81.430205700627695</v>
      </c>
      <c r="R105" s="4">
        <f t="shared" si="8"/>
        <v>83.058809814640242</v>
      </c>
      <c r="S105" s="4">
        <f t="shared" si="8"/>
        <v>84.719986010933056</v>
      </c>
      <c r="T105" s="4">
        <f t="shared" si="8"/>
        <v>86.414385731151711</v>
      </c>
    </row>
    <row r="107" spans="2:20" x14ac:dyDescent="0.25">
      <c r="D107" s="2" t="s">
        <v>91</v>
      </c>
      <c r="E107" s="22">
        <f>NPV(E103,K105:T105)</f>
        <v>606.52456256053449</v>
      </c>
    </row>
    <row r="108" spans="2:20" x14ac:dyDescent="0.25">
      <c r="D108" s="2" t="s">
        <v>92</v>
      </c>
      <c r="E108" s="22">
        <f>NPV(E103,K102:T102)</f>
        <v>788.48193132869471</v>
      </c>
    </row>
    <row r="109" spans="2:20" x14ac:dyDescent="0.25">
      <c r="D109" s="2" t="s">
        <v>93</v>
      </c>
      <c r="E109" s="2">
        <f>E108/E107</f>
        <v>1.2999999999999998</v>
      </c>
    </row>
    <row r="111" spans="2:20" x14ac:dyDescent="0.25">
      <c r="D111" s="2" t="s">
        <v>94</v>
      </c>
      <c r="E111" s="22">
        <f>F36</f>
        <v>590.47469220135997</v>
      </c>
    </row>
    <row r="112" spans="2:20" x14ac:dyDescent="0.25">
      <c r="D112" s="2" t="s">
        <v>95</v>
      </c>
      <c r="E112" s="4">
        <f>E108/E111</f>
        <v>1.3353356913386756</v>
      </c>
    </row>
    <row r="114" spans="1:21" x14ac:dyDescent="0.25">
      <c r="B114" s="2" t="s">
        <v>96</v>
      </c>
      <c r="E114" s="14">
        <f>IRR(F114:T114)</f>
        <v>0.17996036893697598</v>
      </c>
      <c r="F114" s="4">
        <f>-F65</f>
        <v>0</v>
      </c>
      <c r="G114" s="4">
        <f>-G65</f>
        <v>0</v>
      </c>
      <c r="H114" s="4">
        <f>-H65</f>
        <v>0</v>
      </c>
      <c r="I114" s="4">
        <f>-I65</f>
        <v>-88.15154591165367</v>
      </c>
      <c r="J114" s="4">
        <f>-J65</f>
        <v>0</v>
      </c>
      <c r="K114" s="4">
        <f>K102-K105</f>
        <v>21.692307692307693</v>
      </c>
      <c r="L114" s="4">
        <f>L102-L105</f>
        <v>22.126153846153841</v>
      </c>
      <c r="M114" s="4">
        <f>M102-M105</f>
        <v>22.568676923076922</v>
      </c>
      <c r="N114" s="4">
        <f t="shared" ref="N114:T114" si="9">N102-N105</f>
        <v>23.02005046153846</v>
      </c>
      <c r="O114" s="4">
        <f t="shared" si="9"/>
        <v>23.480451470769239</v>
      </c>
      <c r="P114" s="4">
        <f t="shared" si="9"/>
        <v>23.95006050018462</v>
      </c>
      <c r="Q114" s="4">
        <f t="shared" si="9"/>
        <v>24.429061710188307</v>
      </c>
      <c r="R114" s="4">
        <f t="shared" si="9"/>
        <v>24.917642944392085</v>
      </c>
      <c r="S114" s="4">
        <f t="shared" si="9"/>
        <v>25.415995803279912</v>
      </c>
      <c r="T114" s="4">
        <f t="shared" si="9"/>
        <v>25.924315719345515</v>
      </c>
    </row>
    <row r="116" spans="1:21" s="23" customFormat="1" x14ac:dyDescent="0.25"/>
    <row r="118" spans="1:21" x14ac:dyDescent="0.25">
      <c r="A118" s="1"/>
      <c r="B118" s="2" t="s">
        <v>1</v>
      </c>
      <c r="E118" s="3">
        <f>IRR(F123:T123)</f>
        <v>7.4475672566671314E-2</v>
      </c>
    </row>
    <row r="119" spans="1:21" x14ac:dyDescent="0.25">
      <c r="A119" s="1"/>
      <c r="B119" s="2" t="s">
        <v>2</v>
      </c>
      <c r="E119" s="3">
        <f>E230</f>
        <v>0.14734495795637859</v>
      </c>
    </row>
    <row r="120" spans="1:21" x14ac:dyDescent="0.25">
      <c r="A120" s="1"/>
    </row>
    <row r="121" spans="1:21" x14ac:dyDescent="0.25">
      <c r="A121" s="1"/>
      <c r="B121" s="2" t="s">
        <v>3</v>
      </c>
      <c r="E121" s="4"/>
      <c r="F121" s="5">
        <v>100</v>
      </c>
      <c r="G121" s="5">
        <v>150</v>
      </c>
      <c r="H121" s="5">
        <v>150</v>
      </c>
      <c r="I121" s="5">
        <v>100</v>
      </c>
      <c r="J121" s="5">
        <v>100</v>
      </c>
    </row>
    <row r="122" spans="1:21" x14ac:dyDescent="0.25">
      <c r="A122" s="1"/>
      <c r="B122" s="2" t="s">
        <v>4</v>
      </c>
      <c r="K122" s="6">
        <v>94</v>
      </c>
      <c r="L122" s="4">
        <f t="shared" ref="L122:T122" si="10">K122*1.02</f>
        <v>95.88</v>
      </c>
      <c r="M122" s="4">
        <f t="shared" si="10"/>
        <v>97.797600000000003</v>
      </c>
      <c r="N122" s="4">
        <f t="shared" si="10"/>
        <v>99.753551999999999</v>
      </c>
      <c r="O122" s="4">
        <f t="shared" si="10"/>
        <v>101.74862304</v>
      </c>
      <c r="P122" s="4">
        <f t="shared" si="10"/>
        <v>103.7835955008</v>
      </c>
      <c r="Q122" s="4">
        <f t="shared" si="10"/>
        <v>105.859267410816</v>
      </c>
      <c r="R122" s="4">
        <f t="shared" si="10"/>
        <v>107.97645275903233</v>
      </c>
      <c r="S122" s="4">
        <f t="shared" si="10"/>
        <v>110.13598181421297</v>
      </c>
      <c r="T122" s="4">
        <f t="shared" si="10"/>
        <v>112.33870145049723</v>
      </c>
    </row>
    <row r="123" spans="1:21" x14ac:dyDescent="0.25">
      <c r="A123" s="1"/>
      <c r="B123" s="2" t="s">
        <v>5</v>
      </c>
      <c r="F123" s="4">
        <f>F122-F121</f>
        <v>-100</v>
      </c>
      <c r="G123" s="4">
        <f t="shared" ref="G123:T123" si="11">G122-G121</f>
        <v>-150</v>
      </c>
      <c r="H123" s="4">
        <f t="shared" si="11"/>
        <v>-150</v>
      </c>
      <c r="I123" s="4">
        <f t="shared" si="11"/>
        <v>-100</v>
      </c>
      <c r="J123" s="4">
        <f t="shared" si="11"/>
        <v>-100</v>
      </c>
      <c r="K123" s="4">
        <f t="shared" si="11"/>
        <v>94</v>
      </c>
      <c r="L123" s="4">
        <f t="shared" si="11"/>
        <v>95.88</v>
      </c>
      <c r="M123" s="4">
        <f t="shared" si="11"/>
        <v>97.797600000000003</v>
      </c>
      <c r="N123" s="4">
        <f t="shared" si="11"/>
        <v>99.753551999999999</v>
      </c>
      <c r="O123" s="4">
        <f t="shared" si="11"/>
        <v>101.74862304</v>
      </c>
      <c r="P123" s="4">
        <f t="shared" si="11"/>
        <v>103.7835955008</v>
      </c>
      <c r="Q123" s="4">
        <f t="shared" si="11"/>
        <v>105.859267410816</v>
      </c>
      <c r="R123" s="4">
        <f t="shared" si="11"/>
        <v>107.97645275903233</v>
      </c>
      <c r="S123" s="4">
        <f t="shared" si="11"/>
        <v>110.13598181421297</v>
      </c>
      <c r="T123" s="4">
        <f t="shared" si="11"/>
        <v>112.33870145049723</v>
      </c>
    </row>
    <row r="124" spans="1:21" x14ac:dyDescent="0.25">
      <c r="A124" s="1"/>
    </row>
    <row r="125" spans="1:21" x14ac:dyDescent="0.25">
      <c r="A125" s="1"/>
      <c r="B125" s="2" t="s">
        <v>6</v>
      </c>
      <c r="E125" s="7" t="s">
        <v>7</v>
      </c>
      <c r="F125" s="7" t="s">
        <v>8</v>
      </c>
      <c r="G125" s="7" t="s">
        <v>9</v>
      </c>
      <c r="H125" s="7" t="s">
        <v>10</v>
      </c>
      <c r="I125" s="7" t="s">
        <v>11</v>
      </c>
      <c r="J125" s="7" t="s">
        <v>12</v>
      </c>
      <c r="K125" s="2" t="s">
        <v>13</v>
      </c>
      <c r="L125" s="7" t="s">
        <v>14</v>
      </c>
      <c r="M125" s="7" t="s">
        <v>15</v>
      </c>
      <c r="N125" s="7" t="s">
        <v>16</v>
      </c>
      <c r="O125" s="7" t="s">
        <v>17</v>
      </c>
      <c r="P125" s="7" t="s">
        <v>18</v>
      </c>
      <c r="Q125" s="7" t="s">
        <v>18</v>
      </c>
      <c r="R125" s="7" t="s">
        <v>19</v>
      </c>
      <c r="S125" s="2" t="s">
        <v>20</v>
      </c>
      <c r="T125" s="7" t="s">
        <v>97</v>
      </c>
      <c r="U125" s="7" t="s">
        <v>97</v>
      </c>
    </row>
    <row r="126" spans="1:21" x14ac:dyDescent="0.25">
      <c r="A126" s="1"/>
      <c r="E126" s="7" t="s">
        <v>21</v>
      </c>
      <c r="F126" s="7" t="s">
        <v>22</v>
      </c>
      <c r="G126" s="7" t="s">
        <v>23</v>
      </c>
      <c r="H126" s="7" t="s">
        <v>24</v>
      </c>
      <c r="I126" s="7" t="s">
        <v>25</v>
      </c>
      <c r="J126" s="7" t="s">
        <v>10</v>
      </c>
      <c r="K126" s="2" t="s">
        <v>26</v>
      </c>
      <c r="L126" s="7" t="s">
        <v>10</v>
      </c>
      <c r="M126" s="7" t="s">
        <v>27</v>
      </c>
      <c r="N126" s="7" t="s">
        <v>28</v>
      </c>
      <c r="O126" s="7" t="s">
        <v>21</v>
      </c>
      <c r="P126" s="7" t="s">
        <v>8</v>
      </c>
      <c r="Q126" s="7" t="s">
        <v>23</v>
      </c>
      <c r="R126" s="7" t="s">
        <v>10</v>
      </c>
      <c r="S126" s="7" t="s">
        <v>21</v>
      </c>
      <c r="T126" s="7" t="s">
        <v>10</v>
      </c>
      <c r="U126" s="7" t="s">
        <v>28</v>
      </c>
    </row>
    <row r="127" spans="1:21" x14ac:dyDescent="0.25">
      <c r="C127" s="2" t="s">
        <v>29</v>
      </c>
      <c r="E127" s="8" t="b">
        <v>1</v>
      </c>
      <c r="F127" s="6">
        <v>100</v>
      </c>
      <c r="G127" s="4">
        <f>IF(E127,G129-G128,F127)</f>
        <v>85.972521727429239</v>
      </c>
      <c r="H127" s="9">
        <f>G127/G129</f>
        <v>0.12375914570678115</v>
      </c>
      <c r="J127" s="8" t="b">
        <v>1</v>
      </c>
      <c r="K127" s="4">
        <f>G127</f>
        <v>85.972521727429239</v>
      </c>
      <c r="L127" s="9">
        <f>K127/$K$16</f>
        <v>0.14328753621238208</v>
      </c>
      <c r="M127" s="8">
        <v>-4</v>
      </c>
    </row>
    <row r="128" spans="1:21" x14ac:dyDescent="0.25">
      <c r="C128" s="2" t="s">
        <v>30</v>
      </c>
      <c r="E128" s="2" t="b">
        <f>NOT(E127)</f>
        <v>0</v>
      </c>
      <c r="F128" s="4">
        <f>E223</f>
        <v>608.70358674475892</v>
      </c>
      <c r="G128" s="4">
        <f>IF(E128,G129-G127,F128)</f>
        <v>608.70358674475892</v>
      </c>
      <c r="H128" s="9">
        <f>G128/G129</f>
        <v>0.87624085429321885</v>
      </c>
      <c r="I128" s="10">
        <v>0.85</v>
      </c>
      <c r="J128" s="2" t="b">
        <f>J127</f>
        <v>1</v>
      </c>
      <c r="K128" s="4">
        <f>G128-F144</f>
        <v>514.02747827257076</v>
      </c>
      <c r="L128" s="9">
        <f>K128/$K$16</f>
        <v>0.85671246378761789</v>
      </c>
      <c r="N128" s="10">
        <v>0.05</v>
      </c>
      <c r="O128" s="8" t="b">
        <v>1</v>
      </c>
      <c r="P128" s="8">
        <v>1.3</v>
      </c>
      <c r="Q128" s="4">
        <f>F136</f>
        <v>1.2</v>
      </c>
      <c r="R128" s="10">
        <v>0.01</v>
      </c>
      <c r="S128" s="8" t="b">
        <v>1</v>
      </c>
      <c r="T128" s="14">
        <v>0.5</v>
      </c>
      <c r="U128" s="14">
        <v>0.01</v>
      </c>
    </row>
    <row r="129" spans="2:12" ht="15.75" thickBot="1" x14ac:dyDescent="0.3">
      <c r="D129" s="11" t="s">
        <v>31</v>
      </c>
      <c r="E129" s="11"/>
      <c r="F129" s="12">
        <f>SUM(F127:F128)</f>
        <v>708.70358674475892</v>
      </c>
      <c r="G129" s="12">
        <f>to</f>
        <v>694.67610847218816</v>
      </c>
      <c r="H129" s="9">
        <f>SUM(H127:H128)</f>
        <v>1</v>
      </c>
      <c r="K129" s="4">
        <f>SUM(K127:K128)</f>
        <v>600</v>
      </c>
    </row>
    <row r="130" spans="2:12" ht="15.75" thickTop="1" x14ac:dyDescent="0.25">
      <c r="G130" s="4"/>
    </row>
    <row r="131" spans="2:12" x14ac:dyDescent="0.25">
      <c r="B131" s="2" t="s">
        <v>32</v>
      </c>
      <c r="E131" s="2" t="s">
        <v>98</v>
      </c>
      <c r="F131" s="13">
        <v>694.67610847218816</v>
      </c>
    </row>
    <row r="132" spans="2:12" x14ac:dyDescent="0.25">
      <c r="B132" s="2" t="s">
        <v>32</v>
      </c>
      <c r="E132" s="2" t="s">
        <v>99</v>
      </c>
      <c r="F132" s="4">
        <f>F160</f>
        <v>689.80881641430358</v>
      </c>
      <c r="G132" s="4"/>
    </row>
    <row r="133" spans="2:12" x14ac:dyDescent="0.25">
      <c r="B133" s="2" t="s">
        <v>35</v>
      </c>
      <c r="E133" s="2" t="s">
        <v>100</v>
      </c>
      <c r="F133" s="4">
        <f>G129-F160</f>
        <v>4.8672920578845833</v>
      </c>
    </row>
    <row r="134" spans="2:12" x14ac:dyDescent="0.25">
      <c r="I134" s="2" t="s">
        <v>37</v>
      </c>
      <c r="J134" s="7" t="s">
        <v>38</v>
      </c>
      <c r="K134" s="7" t="s">
        <v>9</v>
      </c>
      <c r="L134" s="2" t="s">
        <v>35</v>
      </c>
    </row>
    <row r="135" spans="2:12" x14ac:dyDescent="0.25">
      <c r="B135" s="2" t="s">
        <v>39</v>
      </c>
      <c r="F135" s="4">
        <f>MAX(E228,E225)</f>
        <v>1.3353356913386756</v>
      </c>
      <c r="I135" s="2" t="s">
        <v>25</v>
      </c>
      <c r="J135" s="4">
        <f>J200</f>
        <v>603.83629468687434</v>
      </c>
      <c r="K135" s="4">
        <f>G128</f>
        <v>608.70358674475892</v>
      </c>
      <c r="L135" s="4">
        <f>J135-K135</f>
        <v>-4.8672920578845833</v>
      </c>
    </row>
    <row r="136" spans="2:12" x14ac:dyDescent="0.25">
      <c r="B136" s="2" t="s">
        <v>40</v>
      </c>
      <c r="F136" s="6">
        <v>1.2</v>
      </c>
      <c r="I136" s="2" t="s">
        <v>27</v>
      </c>
      <c r="J136" s="4">
        <f>from</f>
        <v>694.67610847218805</v>
      </c>
      <c r="K136" s="4">
        <f>G129</f>
        <v>694.67610847218816</v>
      </c>
      <c r="L136" s="4">
        <f>J136-K136</f>
        <v>0</v>
      </c>
    </row>
    <row r="137" spans="2:12" x14ac:dyDescent="0.25">
      <c r="B137" s="2" t="s">
        <v>35</v>
      </c>
      <c r="F137" s="4">
        <f>F135-F136</f>
        <v>0.13533569133867562</v>
      </c>
      <c r="I137" s="2" t="s">
        <v>41</v>
      </c>
      <c r="J137" s="4">
        <f>SUM(F155:J155)</f>
        <v>600</v>
      </c>
      <c r="K137" s="4">
        <f>SUM(F177:J177)+SUM(F197:J197)</f>
        <v>600</v>
      </c>
      <c r="L137" s="4">
        <f>J137-K137</f>
        <v>0</v>
      </c>
    </row>
    <row r="139" spans="2:12" x14ac:dyDescent="0.25">
      <c r="B139" s="2" t="s">
        <v>35</v>
      </c>
      <c r="E139" s="2" t="s">
        <v>101</v>
      </c>
      <c r="F139" s="4">
        <f>difference</f>
        <v>0</v>
      </c>
    </row>
    <row r="140" spans="2:12" x14ac:dyDescent="0.25">
      <c r="F140" s="4"/>
    </row>
    <row r="141" spans="2:12" x14ac:dyDescent="0.25">
      <c r="B141" s="2" t="s">
        <v>43</v>
      </c>
      <c r="F141" s="4"/>
    </row>
    <row r="142" spans="2:12" x14ac:dyDescent="0.25">
      <c r="C142" s="2" t="s">
        <v>44</v>
      </c>
      <c r="F142" s="4">
        <f>E155</f>
        <v>600</v>
      </c>
    </row>
    <row r="143" spans="2:12" x14ac:dyDescent="0.25">
      <c r="C143" s="2" t="s">
        <v>102</v>
      </c>
      <c r="F143" s="4">
        <f>to</f>
        <v>694.67610847218816</v>
      </c>
    </row>
    <row r="144" spans="2:12" x14ac:dyDescent="0.25">
      <c r="C144" s="2" t="s">
        <v>46</v>
      </c>
      <c r="F144" s="4">
        <f>F143-F142</f>
        <v>94.676108472188162</v>
      </c>
    </row>
    <row r="145" spans="2:10" x14ac:dyDescent="0.25">
      <c r="C145" s="2" t="s">
        <v>47</v>
      </c>
      <c r="F145" s="4">
        <f>F143-G127</f>
        <v>608.70358674475892</v>
      </c>
    </row>
    <row r="146" spans="2:10" x14ac:dyDescent="0.25">
      <c r="C146" s="2" t="s">
        <v>48</v>
      </c>
      <c r="F146" s="4">
        <f>F145-F144</f>
        <v>514.02747827257076</v>
      </c>
    </row>
    <row r="147" spans="2:10" x14ac:dyDescent="0.25">
      <c r="C147" s="2" t="s">
        <v>49</v>
      </c>
      <c r="F147" s="14">
        <f>F145/F143</f>
        <v>0.87624085429321885</v>
      </c>
    </row>
    <row r="148" spans="2:10" x14ac:dyDescent="0.25">
      <c r="C148" s="2" t="s">
        <v>50</v>
      </c>
      <c r="F148" s="14">
        <f>I128</f>
        <v>0.85</v>
      </c>
    </row>
    <row r="149" spans="2:10" x14ac:dyDescent="0.25">
      <c r="C149" s="2" t="s">
        <v>51</v>
      </c>
      <c r="F149" s="4">
        <f>F143*F148</f>
        <v>590.47469220135997</v>
      </c>
    </row>
    <row r="151" spans="2:10" x14ac:dyDescent="0.25">
      <c r="B151" s="2" t="s">
        <v>52</v>
      </c>
    </row>
    <row r="152" spans="2:10" x14ac:dyDescent="0.25">
      <c r="C152" s="2" t="s">
        <v>53</v>
      </c>
      <c r="F152" s="2">
        <f>G152-1</f>
        <v>-4</v>
      </c>
      <c r="G152" s="2">
        <f>H152-1</f>
        <v>-3</v>
      </c>
      <c r="H152" s="2">
        <f>I152-1</f>
        <v>-2</v>
      </c>
      <c r="I152" s="2">
        <f>J152-1</f>
        <v>-1</v>
      </c>
      <c r="J152" s="8">
        <v>0</v>
      </c>
    </row>
    <row r="153" spans="2:10" x14ac:dyDescent="0.25">
      <c r="C153" s="2" t="s">
        <v>54</v>
      </c>
      <c r="F153" s="2" t="b">
        <f>F152=0</f>
        <v>0</v>
      </c>
      <c r="G153" s="2" t="b">
        <f>G152=0</f>
        <v>0</v>
      </c>
      <c r="H153" s="2" t="b">
        <f>H152=0</f>
        <v>0</v>
      </c>
      <c r="I153" s="2" t="b">
        <f>I152=0</f>
        <v>0</v>
      </c>
      <c r="J153" s="2" t="b">
        <f>J152=0</f>
        <v>1</v>
      </c>
    </row>
    <row r="155" spans="2:10" x14ac:dyDescent="0.25">
      <c r="C155" s="15" t="s">
        <v>55</v>
      </c>
      <c r="D155" s="15"/>
      <c r="E155" s="4">
        <f>SUM(F155:J155)</f>
        <v>600</v>
      </c>
      <c r="F155" s="16">
        <f>F121</f>
        <v>100</v>
      </c>
      <c r="G155" s="16">
        <f>G121</f>
        <v>150</v>
      </c>
      <c r="H155" s="16">
        <f>H121</f>
        <v>150</v>
      </c>
      <c r="I155" s="16">
        <f>I121</f>
        <v>100</v>
      </c>
      <c r="J155" s="16">
        <f>J121</f>
        <v>100</v>
      </c>
    </row>
    <row r="156" spans="2:10" x14ac:dyDescent="0.25">
      <c r="C156" s="17" t="s">
        <v>56</v>
      </c>
      <c r="E156" s="4">
        <f>SUM(F156:J156)</f>
        <v>59.373637077065553</v>
      </c>
      <c r="F156" s="4">
        <f>F204</f>
        <v>0</v>
      </c>
      <c r="G156" s="4">
        <f>G204</f>
        <v>4.587914112310469</v>
      </c>
      <c r="H156" s="4">
        <f>H204</f>
        <v>11.547005089705507</v>
      </c>
      <c r="I156" s="4">
        <f>I204</f>
        <v>18.854050615970298</v>
      </c>
      <c r="J156" s="4">
        <f>J204</f>
        <v>24.384667259079283</v>
      </c>
    </row>
    <row r="157" spans="2:10" x14ac:dyDescent="0.25">
      <c r="C157" s="17" t="s">
        <v>57</v>
      </c>
      <c r="E157" s="4"/>
      <c r="F157" s="4">
        <f>F209</f>
        <v>6.0870358674475895</v>
      </c>
      <c r="G157" s="4">
        <f>G209</f>
        <v>6.0870358674475895</v>
      </c>
      <c r="H157" s="4">
        <f>H209</f>
        <v>6.0870358674475895</v>
      </c>
      <c r="I157" s="4">
        <f>I209</f>
        <v>6.0870358674475895</v>
      </c>
      <c r="J157" s="4">
        <f>J209</f>
        <v>6.0870358674475895</v>
      </c>
    </row>
    <row r="158" spans="2:10" ht="15.75" thickBot="1" x14ac:dyDescent="0.3">
      <c r="C158" s="18" t="s">
        <v>58</v>
      </c>
      <c r="D158" s="11"/>
      <c r="E158" s="12">
        <f>SUM(E155:E156)</f>
        <v>659.3736370770655</v>
      </c>
      <c r="F158" s="12">
        <f>SUM(F155:F157)</f>
        <v>106.08703586744758</v>
      </c>
      <c r="G158" s="12">
        <f t="shared" ref="G158:J158" si="12">SUM(G155:G157)</f>
        <v>160.67494997975805</v>
      </c>
      <c r="H158" s="12">
        <f t="shared" si="12"/>
        <v>167.6340409571531</v>
      </c>
      <c r="I158" s="12">
        <f t="shared" si="12"/>
        <v>124.94108648341788</v>
      </c>
      <c r="J158" s="12">
        <f t="shared" si="12"/>
        <v>130.47170312652688</v>
      </c>
    </row>
    <row r="159" spans="2:10" ht="15.75" thickTop="1" x14ac:dyDescent="0.25">
      <c r="E159" s="4"/>
    </row>
    <row r="160" spans="2:10" x14ac:dyDescent="0.25">
      <c r="C160" s="2" t="s">
        <v>59</v>
      </c>
      <c r="E160" s="4"/>
      <c r="F160" s="4">
        <f>SUM(F158:J158)</f>
        <v>689.80881641430358</v>
      </c>
    </row>
    <row r="162" spans="3:14" x14ac:dyDescent="0.25">
      <c r="C162" s="2" t="s">
        <v>60</v>
      </c>
    </row>
    <row r="163" spans="3:14" x14ac:dyDescent="0.25">
      <c r="D163" s="2" t="s">
        <v>61</v>
      </c>
      <c r="F163" s="2" t="b">
        <f>F152&gt;=$M$14</f>
        <v>0</v>
      </c>
      <c r="G163" s="2" t="b">
        <f>G152&gt;=$M$14</f>
        <v>0</v>
      </c>
      <c r="H163" s="2" t="b">
        <f>H152&gt;=$M$14</f>
        <v>0</v>
      </c>
      <c r="I163" s="2" t="b">
        <f>I152&gt;=$M$14</f>
        <v>1</v>
      </c>
      <c r="J163" s="2" t="b">
        <f>J152&gt;=$M$14</f>
        <v>1</v>
      </c>
    </row>
    <row r="164" spans="3:14" x14ac:dyDescent="0.25">
      <c r="D164" s="2" t="s">
        <v>62</v>
      </c>
      <c r="F164" s="4">
        <f>F163*$G$14</f>
        <v>0</v>
      </c>
      <c r="G164" s="4">
        <f>G163*$G$14</f>
        <v>0</v>
      </c>
      <c r="H164" s="4">
        <f>H163*$G$14</f>
        <v>0</v>
      </c>
      <c r="I164" s="4">
        <f>I163*$G$14</f>
        <v>88.15154591165367</v>
      </c>
      <c r="J164" s="4">
        <f>J163*$G$14</f>
        <v>88.15154591165367</v>
      </c>
    </row>
    <row r="165" spans="3:14" x14ac:dyDescent="0.25">
      <c r="D165" s="2" t="s">
        <v>63</v>
      </c>
      <c r="F165" s="4">
        <f>F176</f>
        <v>0</v>
      </c>
      <c r="G165" s="4">
        <f>G176</f>
        <v>14.328753621238208</v>
      </c>
      <c r="H165" s="4">
        <f>H176</f>
        <v>35.821884053095523</v>
      </c>
      <c r="I165" s="4">
        <f>I176</f>
        <v>57.31501448495284</v>
      </c>
      <c r="J165" s="4">
        <f>J176</f>
        <v>71.643768106191047</v>
      </c>
    </row>
    <row r="166" spans="3:14" x14ac:dyDescent="0.25">
      <c r="D166" s="2" t="s">
        <v>64</v>
      </c>
      <c r="F166" s="4">
        <f>F164-F165</f>
        <v>0</v>
      </c>
      <c r="G166" s="4">
        <f>G164-G165</f>
        <v>-14.328753621238208</v>
      </c>
      <c r="H166" s="4">
        <f>H164-H165</f>
        <v>-35.821884053095523</v>
      </c>
      <c r="I166" s="4">
        <f>I164-I165</f>
        <v>30.83653142670083</v>
      </c>
      <c r="J166" s="4">
        <f>J164-J165</f>
        <v>16.507777805462624</v>
      </c>
    </row>
    <row r="168" spans="3:14" x14ac:dyDescent="0.25">
      <c r="D168" s="2" t="s">
        <v>65</v>
      </c>
      <c r="F168" s="4">
        <f>MIN(F166,F158)</f>
        <v>0</v>
      </c>
      <c r="G168" s="4">
        <f>MIN(G166,G158)</f>
        <v>-14.328753621238208</v>
      </c>
      <c r="H168" s="4">
        <f>MIN(H166,H158)</f>
        <v>-35.821884053095523</v>
      </c>
      <c r="I168" s="4">
        <f>MIN(I166,I158)</f>
        <v>30.83653142670083</v>
      </c>
      <c r="J168" s="4">
        <f>MIN(J166,J158)</f>
        <v>16.507777805462624</v>
      </c>
    </row>
    <row r="169" spans="3:14" x14ac:dyDescent="0.25">
      <c r="F169" s="4"/>
      <c r="G169" s="4"/>
      <c r="H169" s="4"/>
      <c r="I169" s="4"/>
      <c r="J169" s="4"/>
    </row>
    <row r="170" spans="3:14" x14ac:dyDescent="0.25">
      <c r="D170" s="2" t="s">
        <v>66</v>
      </c>
      <c r="E170" s="9">
        <f>L127</f>
        <v>0.14328753621238208</v>
      </c>
      <c r="F170" s="9">
        <f>E170</f>
        <v>0.14328753621238208</v>
      </c>
      <c r="G170" s="9">
        <f>F170</f>
        <v>0.14328753621238208</v>
      </c>
      <c r="H170" s="9">
        <f>G170</f>
        <v>0.14328753621238208</v>
      </c>
      <c r="I170" s="9">
        <f>H170</f>
        <v>0.14328753621238208</v>
      </c>
      <c r="J170" s="9">
        <f>I170</f>
        <v>0.14328753621238208</v>
      </c>
    </row>
    <row r="171" spans="3:14" x14ac:dyDescent="0.25">
      <c r="D171" s="2" t="s">
        <v>67</v>
      </c>
      <c r="E171" s="9"/>
      <c r="F171" s="4">
        <f>F170*F155</f>
        <v>14.328753621238208</v>
      </c>
      <c r="G171" s="4">
        <f t="shared" ref="G171:J171" si="13">G170*G155</f>
        <v>21.493130431857313</v>
      </c>
      <c r="H171" s="4">
        <f t="shared" si="13"/>
        <v>21.493130431857313</v>
      </c>
      <c r="I171" s="4">
        <f t="shared" si="13"/>
        <v>14.328753621238208</v>
      </c>
      <c r="J171" s="4">
        <f t="shared" si="13"/>
        <v>14.328753621238208</v>
      </c>
    </row>
    <row r="172" spans="3:14" x14ac:dyDescent="0.25">
      <c r="E172" s="9"/>
      <c r="F172" s="9"/>
      <c r="G172" s="9"/>
      <c r="H172" s="9"/>
      <c r="I172" s="9"/>
      <c r="J172" s="9"/>
    </row>
    <row r="173" spans="3:14" x14ac:dyDescent="0.25">
      <c r="D173" s="2" t="s">
        <v>68</v>
      </c>
      <c r="E173" s="2" t="b">
        <f>J127</f>
        <v>1</v>
      </c>
      <c r="F173" s="2" t="b">
        <f>E173</f>
        <v>1</v>
      </c>
      <c r="G173" s="2" t="b">
        <f>F173</f>
        <v>1</v>
      </c>
      <c r="H173" s="2" t="b">
        <f>G173</f>
        <v>1</v>
      </c>
      <c r="I173" s="2" t="b">
        <f>H173</f>
        <v>1</v>
      </c>
      <c r="J173" s="2" t="b">
        <f>I173</f>
        <v>1</v>
      </c>
    </row>
    <row r="174" spans="3:14" x14ac:dyDescent="0.25">
      <c r="D174" s="2" t="s">
        <v>69</v>
      </c>
      <c r="F174" s="4">
        <f>IF(F173,F171,F168)</f>
        <v>14.328753621238208</v>
      </c>
      <c r="G174" s="4">
        <f t="shared" ref="G174:J174" si="14">IF(G173,G171,G168)</f>
        <v>21.493130431857313</v>
      </c>
      <c r="H174" s="4">
        <f t="shared" si="14"/>
        <v>21.493130431857313</v>
      </c>
      <c r="I174" s="4">
        <f t="shared" si="14"/>
        <v>14.328753621238208</v>
      </c>
      <c r="J174" s="4">
        <f t="shared" si="14"/>
        <v>14.328753621238208</v>
      </c>
      <c r="L174" s="4">
        <f>SUM(F174:J174)</f>
        <v>85.972521727429253</v>
      </c>
      <c r="M174" s="4">
        <f>L174+L191</f>
        <v>85.972521727429253</v>
      </c>
      <c r="N174" s="2">
        <f>L191/M174</f>
        <v>0</v>
      </c>
    </row>
    <row r="176" spans="3:14" x14ac:dyDescent="0.25">
      <c r="D176" s="2" t="s">
        <v>70</v>
      </c>
      <c r="F176" s="4">
        <f>E178</f>
        <v>0</v>
      </c>
      <c r="G176" s="4">
        <f>F178</f>
        <v>14.328753621238208</v>
      </c>
      <c r="H176" s="4">
        <f>G178</f>
        <v>35.821884053095523</v>
      </c>
      <c r="I176" s="4">
        <f>H178</f>
        <v>57.31501448495284</v>
      </c>
      <c r="J176" s="4">
        <f>I178</f>
        <v>71.643768106191047</v>
      </c>
    </row>
    <row r="177" spans="3:12" x14ac:dyDescent="0.25">
      <c r="D177" s="19" t="s">
        <v>71</v>
      </c>
      <c r="E177" s="20"/>
      <c r="F177" s="21">
        <f>F174</f>
        <v>14.328753621238208</v>
      </c>
      <c r="G177" s="21">
        <f>G174</f>
        <v>21.493130431857313</v>
      </c>
      <c r="H177" s="21">
        <f>H174</f>
        <v>21.493130431857313</v>
      </c>
      <c r="I177" s="21">
        <f>I174</f>
        <v>14.328753621238208</v>
      </c>
      <c r="J177" s="21">
        <f>J174</f>
        <v>14.328753621238208</v>
      </c>
      <c r="K177" s="4"/>
      <c r="L177" s="4">
        <f>SUM(F177:J177)</f>
        <v>85.972521727429253</v>
      </c>
    </row>
    <row r="178" spans="3:12" x14ac:dyDescent="0.25">
      <c r="D178" s="2" t="s">
        <v>72</v>
      </c>
      <c r="F178" s="4">
        <f>F176+F177</f>
        <v>14.328753621238208</v>
      </c>
      <c r="G178" s="4">
        <f>G176+G177</f>
        <v>35.821884053095523</v>
      </c>
      <c r="H178" s="4">
        <f>H176+H177</f>
        <v>57.31501448495284</v>
      </c>
      <c r="I178" s="4">
        <f>I176+I177</f>
        <v>71.643768106191047</v>
      </c>
      <c r="J178" s="4">
        <f>J176+J177</f>
        <v>85.972521727429253</v>
      </c>
    </row>
    <row r="180" spans="3:12" ht="15.75" thickBot="1" x14ac:dyDescent="0.3">
      <c r="C180" s="11" t="s">
        <v>73</v>
      </c>
      <c r="D180" s="11"/>
      <c r="E180" s="11"/>
      <c r="F180" s="12">
        <f>F155-F177</f>
        <v>85.671246378761793</v>
      </c>
      <c r="G180" s="12">
        <f>G155-G177</f>
        <v>128.50686956814269</v>
      </c>
      <c r="H180" s="12">
        <f>H155-H177</f>
        <v>128.50686956814269</v>
      </c>
      <c r="I180" s="12">
        <f>I155-I177</f>
        <v>85.671246378761793</v>
      </c>
      <c r="J180" s="12">
        <f>J155-J177</f>
        <v>85.671246378761793</v>
      </c>
    </row>
    <row r="181" spans="3:12" ht="15.75" thickTop="1" x14ac:dyDescent="0.25"/>
    <row r="182" spans="3:12" x14ac:dyDescent="0.25">
      <c r="C182" s="2" t="s">
        <v>74</v>
      </c>
    </row>
    <row r="183" spans="3:12" x14ac:dyDescent="0.25">
      <c r="D183" s="2" t="s">
        <v>62</v>
      </c>
      <c r="E183" s="4">
        <f>F146</f>
        <v>514.02747827257076</v>
      </c>
      <c r="F183" s="4">
        <f>E183</f>
        <v>514.02747827257076</v>
      </c>
      <c r="G183" s="4">
        <f>F183</f>
        <v>514.02747827257076</v>
      </c>
      <c r="H183" s="4">
        <f>G183</f>
        <v>514.02747827257076</v>
      </c>
      <c r="I183" s="4">
        <f>H183</f>
        <v>514.02747827257076</v>
      </c>
      <c r="J183" s="4">
        <f>I183</f>
        <v>514.02747827257076</v>
      </c>
    </row>
    <row r="184" spans="3:12" x14ac:dyDescent="0.25">
      <c r="D184" s="2" t="s">
        <v>75</v>
      </c>
      <c r="F184" s="4">
        <f>F196</f>
        <v>0</v>
      </c>
      <c r="G184" s="4">
        <f>G196</f>
        <v>91.758282246209376</v>
      </c>
      <c r="H184" s="4">
        <f>H196</f>
        <v>230.94010179411012</v>
      </c>
      <c r="I184" s="4">
        <f>I196</f>
        <v>377.08101231940594</v>
      </c>
      <c r="J184" s="4">
        <f>J196</f>
        <v>487.69334518158564</v>
      </c>
    </row>
    <row r="185" spans="3:12" x14ac:dyDescent="0.25">
      <c r="D185" s="2" t="s">
        <v>76</v>
      </c>
      <c r="F185" s="4">
        <f>E211</f>
        <v>0</v>
      </c>
      <c r="G185" s="4">
        <f>F211</f>
        <v>6.0870358674475895</v>
      </c>
      <c r="H185" s="4">
        <f>G211</f>
        <v>16.761985847205647</v>
      </c>
      <c r="I185" s="4">
        <f>H211</f>
        <v>34.39602680435874</v>
      </c>
      <c r="J185" s="4">
        <f>I211</f>
        <v>59.337113287776624</v>
      </c>
    </row>
    <row r="186" spans="3:12" x14ac:dyDescent="0.25">
      <c r="D186" s="2" t="s">
        <v>64</v>
      </c>
      <c r="F186" s="4">
        <f>F183-F196+F185</f>
        <v>514.02747827257076</v>
      </c>
      <c r="G186" s="4">
        <f>G183-G196+G185</f>
        <v>428.35623189380897</v>
      </c>
      <c r="H186" s="4">
        <f>H183-H196+H185</f>
        <v>299.84936232566633</v>
      </c>
      <c r="I186" s="4">
        <f>I183-I196+I185</f>
        <v>171.34249275752356</v>
      </c>
      <c r="J186" s="4">
        <f>J183-J196+J185</f>
        <v>85.671246378761737</v>
      </c>
    </row>
    <row r="187" spans="3:12" x14ac:dyDescent="0.25">
      <c r="F187" s="4"/>
      <c r="G187" s="4"/>
      <c r="H187" s="4"/>
      <c r="I187" s="4"/>
      <c r="J187" s="4"/>
    </row>
    <row r="188" spans="3:12" x14ac:dyDescent="0.25">
      <c r="D188" s="2" t="s">
        <v>65</v>
      </c>
      <c r="F188" s="4">
        <f>MIN(F186,F180)</f>
        <v>85.671246378761793</v>
      </c>
      <c r="G188" s="4">
        <f>MIN(G186,G180)</f>
        <v>128.50686956814269</v>
      </c>
      <c r="H188" s="4">
        <f>MIN(H186,H180)</f>
        <v>128.50686956814269</v>
      </c>
      <c r="I188" s="4">
        <f>MIN(I186,I180)</f>
        <v>85.671246378761793</v>
      </c>
      <c r="J188" s="4">
        <f>MIN(J186,J180)</f>
        <v>85.671246378761737</v>
      </c>
    </row>
    <row r="189" spans="3:12" x14ac:dyDescent="0.25">
      <c r="F189" s="4"/>
      <c r="G189" s="4"/>
      <c r="H189" s="4"/>
      <c r="I189" s="4"/>
      <c r="J189" s="4"/>
    </row>
    <row r="190" spans="3:12" x14ac:dyDescent="0.25">
      <c r="D190" s="2" t="s">
        <v>66</v>
      </c>
      <c r="E190" s="3">
        <f>L128</f>
        <v>0.85671246378761789</v>
      </c>
      <c r="F190" s="3">
        <f>E190</f>
        <v>0.85671246378761789</v>
      </c>
      <c r="G190" s="3">
        <f>F190</f>
        <v>0.85671246378761789</v>
      </c>
      <c r="H190" s="3">
        <f>G190</f>
        <v>0.85671246378761789</v>
      </c>
      <c r="I190" s="3">
        <f>H190</f>
        <v>0.85671246378761789</v>
      </c>
      <c r="J190" s="3">
        <f>I190</f>
        <v>0.85671246378761789</v>
      </c>
    </row>
    <row r="191" spans="3:12" x14ac:dyDescent="0.25">
      <c r="D191" s="2" t="s">
        <v>67</v>
      </c>
      <c r="F191" s="4">
        <f>F190*F155</f>
        <v>85.671246378761793</v>
      </c>
      <c r="G191" s="4">
        <f t="shared" ref="G191:J191" si="15">G190*G155</f>
        <v>128.50686956814269</v>
      </c>
      <c r="H191" s="4">
        <f t="shared" si="15"/>
        <v>128.50686956814269</v>
      </c>
      <c r="I191" s="4">
        <f t="shared" si="15"/>
        <v>85.671246378761793</v>
      </c>
      <c r="J191" s="4">
        <f t="shared" si="15"/>
        <v>85.671246378761793</v>
      </c>
      <c r="L191" s="4"/>
    </row>
    <row r="192" spans="3:12" x14ac:dyDescent="0.25">
      <c r="F192" s="4"/>
      <c r="G192" s="4"/>
      <c r="H192" s="4"/>
      <c r="I192" s="4"/>
      <c r="J192" s="4"/>
    </row>
    <row r="193" spans="4:20" x14ac:dyDescent="0.25">
      <c r="D193" s="2" t="s">
        <v>68</v>
      </c>
      <c r="E193" s="2" t="b">
        <f>J128</f>
        <v>1</v>
      </c>
      <c r="F193" s="4" t="b">
        <f>E193</f>
        <v>1</v>
      </c>
      <c r="G193" s="4" t="b">
        <f>F193</f>
        <v>1</v>
      </c>
      <c r="H193" s="4" t="b">
        <f>G193</f>
        <v>1</v>
      </c>
      <c r="I193" s="4" t="b">
        <f>H193</f>
        <v>1</v>
      </c>
      <c r="J193" s="4" t="b">
        <f>I193</f>
        <v>1</v>
      </c>
    </row>
    <row r="194" spans="4:20" x14ac:dyDescent="0.25">
      <c r="D194" s="2" t="s">
        <v>69</v>
      </c>
      <c r="F194" s="4">
        <f>IF(F193,F191,F188)</f>
        <v>85.671246378761793</v>
      </c>
      <c r="G194" s="4">
        <f>IF(G193,G191,G188)</f>
        <v>128.50686956814269</v>
      </c>
      <c r="H194" s="4">
        <f>IF(H193,H191,H188)</f>
        <v>128.50686956814269</v>
      </c>
      <c r="I194" s="4">
        <f>IF(I193,I191,I188)</f>
        <v>85.671246378761793</v>
      </c>
      <c r="J194" s="4">
        <f>IF(J193,J191,J188)</f>
        <v>85.671246378761793</v>
      </c>
      <c r="L194" s="4"/>
      <c r="M194" s="4"/>
    </row>
    <row r="195" spans="4:20" x14ac:dyDescent="0.25">
      <c r="F195" s="4"/>
      <c r="G195" s="4"/>
      <c r="H195" s="4"/>
      <c r="I195" s="4"/>
      <c r="J195" s="4"/>
    </row>
    <row r="196" spans="4:20" x14ac:dyDescent="0.25">
      <c r="D196" s="2" t="s">
        <v>70</v>
      </c>
      <c r="F196" s="4">
        <f>E200</f>
        <v>0</v>
      </c>
      <c r="G196" s="4">
        <f>F200</f>
        <v>91.758282246209376</v>
      </c>
      <c r="H196" s="4">
        <f>G200</f>
        <v>230.94010179411012</v>
      </c>
      <c r="I196" s="4">
        <f>H200</f>
        <v>377.08101231940594</v>
      </c>
      <c r="J196" s="4">
        <f>I200</f>
        <v>487.69334518158564</v>
      </c>
    </row>
    <row r="197" spans="4:20" x14ac:dyDescent="0.25">
      <c r="D197" s="2" t="s">
        <v>71</v>
      </c>
      <c r="F197" s="4">
        <f>F194</f>
        <v>85.671246378761793</v>
      </c>
      <c r="G197" s="4">
        <f>G194</f>
        <v>128.50686956814269</v>
      </c>
      <c r="H197" s="4">
        <f>H194</f>
        <v>128.50686956814269</v>
      </c>
      <c r="I197" s="4">
        <f>I194</f>
        <v>85.671246378761793</v>
      </c>
      <c r="J197" s="4">
        <f>J194</f>
        <v>85.671246378761793</v>
      </c>
      <c r="L197" s="4"/>
    </row>
    <row r="198" spans="4:20" x14ac:dyDescent="0.25">
      <c r="D198" s="2" t="s">
        <v>77</v>
      </c>
      <c r="F198" s="4">
        <f>F204</f>
        <v>0</v>
      </c>
      <c r="G198" s="4">
        <f>G204</f>
        <v>4.587914112310469</v>
      </c>
      <c r="H198" s="4">
        <f>H204</f>
        <v>11.547005089705507</v>
      </c>
      <c r="I198" s="4">
        <f>I204</f>
        <v>18.854050615970298</v>
      </c>
      <c r="J198" s="4">
        <f>J204</f>
        <v>24.384667259079283</v>
      </c>
      <c r="L198" s="4"/>
    </row>
    <row r="199" spans="4:20" x14ac:dyDescent="0.25">
      <c r="D199" s="2" t="s">
        <v>78</v>
      </c>
      <c r="F199" s="4">
        <f>F209</f>
        <v>6.0870358674475895</v>
      </c>
      <c r="G199" s="4">
        <f>G209</f>
        <v>6.0870358674475895</v>
      </c>
      <c r="H199" s="4">
        <f>H209</f>
        <v>6.0870358674475895</v>
      </c>
      <c r="I199" s="4">
        <f>I209</f>
        <v>6.0870358674475895</v>
      </c>
      <c r="J199" s="4">
        <f>J209</f>
        <v>6.0870358674475895</v>
      </c>
      <c r="L199" s="4"/>
      <c r="T199" s="4"/>
    </row>
    <row r="200" spans="4:20" x14ac:dyDescent="0.25">
      <c r="D200" s="2" t="s">
        <v>72</v>
      </c>
      <c r="F200" s="4">
        <f>SUM(F196:F199)</f>
        <v>91.758282246209376</v>
      </c>
      <c r="G200" s="4">
        <f t="shared" ref="G200:I200" si="16">SUM(G196:G199)</f>
        <v>230.94010179411012</v>
      </c>
      <c r="H200" s="4">
        <f t="shared" si="16"/>
        <v>377.08101231940594</v>
      </c>
      <c r="I200" s="4">
        <f t="shared" si="16"/>
        <v>487.69334518158564</v>
      </c>
      <c r="J200" s="4">
        <f>SUM(J196:J199)</f>
        <v>603.83629468687434</v>
      </c>
      <c r="L200" s="4"/>
    </row>
    <row r="202" spans="4:20" x14ac:dyDescent="0.25">
      <c r="D202" s="2" t="s">
        <v>79</v>
      </c>
      <c r="E202" s="14">
        <f>N128</f>
        <v>0.05</v>
      </c>
      <c r="F202" s="14">
        <f>E202</f>
        <v>0.05</v>
      </c>
      <c r="G202" s="14">
        <f>F202</f>
        <v>0.05</v>
      </c>
      <c r="H202" s="14">
        <f>G202</f>
        <v>0.05</v>
      </c>
      <c r="I202" s="14">
        <f>H202</f>
        <v>0.05</v>
      </c>
      <c r="J202" s="14">
        <f>I202</f>
        <v>0.05</v>
      </c>
      <c r="L202" s="4"/>
    </row>
    <row r="203" spans="4:20" x14ac:dyDescent="0.25">
      <c r="D203" s="2" t="s">
        <v>80</v>
      </c>
      <c r="F203" s="4">
        <f>F202*F196</f>
        <v>0</v>
      </c>
      <c r="G203" s="4">
        <f>G202*G196</f>
        <v>4.587914112310469</v>
      </c>
      <c r="H203" s="4">
        <f>H202*H196</f>
        <v>11.547005089705507</v>
      </c>
      <c r="I203" s="4">
        <f>I202*I196</f>
        <v>18.854050615970298</v>
      </c>
      <c r="J203" s="4">
        <f>J202*J196</f>
        <v>24.384667259079283</v>
      </c>
      <c r="K203" s="4"/>
    </row>
    <row r="204" spans="4:20" x14ac:dyDescent="0.25">
      <c r="D204" s="2" t="s">
        <v>81</v>
      </c>
      <c r="E204" s="2" t="b">
        <f>O128</f>
        <v>1</v>
      </c>
      <c r="F204" s="4">
        <f>$E204*F203</f>
        <v>0</v>
      </c>
      <c r="G204" s="4">
        <f>$E204*G203</f>
        <v>4.587914112310469</v>
      </c>
      <c r="H204" s="4">
        <f>$E204*H203</f>
        <v>11.547005089705507</v>
      </c>
      <c r="I204" s="4">
        <f>$E204*I203</f>
        <v>18.854050615970298</v>
      </c>
      <c r="J204" s="4">
        <f>$E204*J203</f>
        <v>24.384667259079283</v>
      </c>
    </row>
    <row r="206" spans="4:20" x14ac:dyDescent="0.25">
      <c r="D206" s="2" t="s">
        <v>82</v>
      </c>
      <c r="E206" s="14">
        <f>R128</f>
        <v>0.01</v>
      </c>
      <c r="F206" s="14">
        <f>E206</f>
        <v>0.01</v>
      </c>
      <c r="G206" s="14">
        <f>F206</f>
        <v>0.01</v>
      </c>
      <c r="H206" s="14">
        <f>G206</f>
        <v>0.01</v>
      </c>
      <c r="I206" s="14">
        <f>H206</f>
        <v>0.01</v>
      </c>
      <c r="J206" s="14">
        <f>I206</f>
        <v>0.01</v>
      </c>
    </row>
    <row r="207" spans="4:20" x14ac:dyDescent="0.25">
      <c r="D207" s="2" t="s">
        <v>83</v>
      </c>
      <c r="E207" s="4">
        <f>G128</f>
        <v>608.70358674475892</v>
      </c>
      <c r="F207" s="4">
        <f>E207</f>
        <v>608.70358674475892</v>
      </c>
      <c r="G207" s="4">
        <f>F207</f>
        <v>608.70358674475892</v>
      </c>
      <c r="H207" s="4">
        <f>G207</f>
        <v>608.70358674475892</v>
      </c>
      <c r="I207" s="4">
        <f>H207</f>
        <v>608.70358674475892</v>
      </c>
      <c r="J207" s="4">
        <f>I207</f>
        <v>608.70358674475892</v>
      </c>
    </row>
    <row r="208" spans="4:20" x14ac:dyDescent="0.25">
      <c r="D208" s="2" t="s">
        <v>84</v>
      </c>
      <c r="F208" s="4">
        <f>F207*F206</f>
        <v>6.0870358674475895</v>
      </c>
      <c r="G208" s="4">
        <f>G207*G206</f>
        <v>6.0870358674475895</v>
      </c>
      <c r="H208" s="4">
        <f>H207*H206</f>
        <v>6.0870358674475895</v>
      </c>
      <c r="I208" s="4">
        <f>I207*I206</f>
        <v>6.0870358674475895</v>
      </c>
      <c r="J208" s="4">
        <f>J207*J206</f>
        <v>6.0870358674475895</v>
      </c>
    </row>
    <row r="209" spans="2:20" x14ac:dyDescent="0.25">
      <c r="D209" s="2" t="s">
        <v>85</v>
      </c>
      <c r="E209" s="2" t="b">
        <f>S128</f>
        <v>1</v>
      </c>
      <c r="F209" s="4">
        <f>$E209*F208</f>
        <v>6.0870358674475895</v>
      </c>
      <c r="G209" s="4">
        <f>$E209*G208</f>
        <v>6.0870358674475895</v>
      </c>
      <c r="H209" s="4">
        <f>$E209*H208</f>
        <v>6.0870358674475895</v>
      </c>
      <c r="I209" s="4">
        <f>$E209*I208</f>
        <v>6.0870358674475895</v>
      </c>
      <c r="J209" s="4">
        <f>$E209*J208</f>
        <v>6.0870358674475895</v>
      </c>
    </row>
    <row r="211" spans="2:20" x14ac:dyDescent="0.25">
      <c r="D211" s="2" t="s">
        <v>86</v>
      </c>
      <c r="F211" s="4">
        <f>E211+F204+F209</f>
        <v>6.0870358674475895</v>
      </c>
      <c r="G211" s="4">
        <f>F211+G204+G209</f>
        <v>16.761985847205647</v>
      </c>
      <c r="H211" s="4">
        <f>G211+H204+H209</f>
        <v>34.39602680435874</v>
      </c>
      <c r="I211" s="4">
        <f>H211+I204+I209</f>
        <v>59.337113287776624</v>
      </c>
      <c r="J211" s="4">
        <f>I211+J204+J209</f>
        <v>89.808816414303493</v>
      </c>
    </row>
    <row r="213" spans="2:20" x14ac:dyDescent="0.25">
      <c r="B213" s="2" t="s">
        <v>87</v>
      </c>
    </row>
    <row r="214" spans="2:20" x14ac:dyDescent="0.25">
      <c r="D214" s="2" t="s">
        <v>103</v>
      </c>
      <c r="K214" s="4">
        <f>K122</f>
        <v>94</v>
      </c>
      <c r="L214" s="4">
        <f>L122</f>
        <v>95.88</v>
      </c>
      <c r="M214" s="4">
        <f>M122</f>
        <v>97.797600000000003</v>
      </c>
      <c r="N214" s="4">
        <f>N122</f>
        <v>99.753551999999999</v>
      </c>
      <c r="O214" s="4">
        <f>O122</f>
        <v>101.74862304</v>
      </c>
      <c r="P214" s="4">
        <f>P122</f>
        <v>103.7835955008</v>
      </c>
      <c r="Q214" s="4">
        <f>Q122</f>
        <v>105.859267410816</v>
      </c>
      <c r="R214" s="4">
        <f>R122</f>
        <v>107.97645275903233</v>
      </c>
      <c r="S214" s="4">
        <f>S122</f>
        <v>110.13598181421297</v>
      </c>
      <c r="T214" s="4">
        <f>T122</f>
        <v>112.33870145049723</v>
      </c>
    </row>
    <row r="215" spans="2:20" x14ac:dyDescent="0.25">
      <c r="D215" s="2" t="s">
        <v>104</v>
      </c>
      <c r="K215" s="4">
        <f>K238</f>
        <v>0.37022163873658193</v>
      </c>
      <c r="L215" s="4">
        <f t="shared" ref="L215:T215" si="17">L238</f>
        <v>0.37762607151131361</v>
      </c>
      <c r="M215" s="4">
        <f t="shared" si="17"/>
        <v>0.38517859294153989</v>
      </c>
      <c r="N215" s="4">
        <f t="shared" si="17"/>
        <v>0.39288216480036925</v>
      </c>
      <c r="O215" s="4">
        <f t="shared" si="17"/>
        <v>0.40073980809600573</v>
      </c>
      <c r="P215" s="4">
        <f t="shared" si="17"/>
        <v>0.40875460416148457</v>
      </c>
      <c r="Q215" s="4">
        <f t="shared" si="17"/>
        <v>0.41692967116998925</v>
      </c>
      <c r="R215" s="4">
        <f t="shared" si="17"/>
        <v>0.42526174516487969</v>
      </c>
      <c r="S215" s="4">
        <f t="shared" si="17"/>
        <v>0.43207192865575855</v>
      </c>
      <c r="T215" s="4">
        <f t="shared" si="17"/>
        <v>0</v>
      </c>
    </row>
    <row r="216" spans="2:20" x14ac:dyDescent="0.25">
      <c r="D216" s="2" t="s">
        <v>105</v>
      </c>
      <c r="K216" s="4">
        <f>K214+K215</f>
        <v>94.370221638736581</v>
      </c>
      <c r="L216" s="4">
        <f t="shared" ref="L216:T216" si="18">L214+L215</f>
        <v>96.257626071511311</v>
      </c>
      <c r="M216" s="4">
        <f t="shared" si="18"/>
        <v>98.182778592941546</v>
      </c>
      <c r="N216" s="4">
        <f t="shared" si="18"/>
        <v>100.14643416480037</v>
      </c>
      <c r="O216" s="4">
        <f t="shared" si="18"/>
        <v>102.149362848096</v>
      </c>
      <c r="P216" s="4">
        <f t="shared" si="18"/>
        <v>104.19235010496149</v>
      </c>
      <c r="Q216" s="4">
        <f t="shared" si="18"/>
        <v>106.276197081986</v>
      </c>
      <c r="R216" s="4">
        <f t="shared" si="18"/>
        <v>108.4017145041972</v>
      </c>
      <c r="S216" s="4">
        <f t="shared" si="18"/>
        <v>110.56805374286873</v>
      </c>
      <c r="T216" s="4">
        <f t="shared" si="18"/>
        <v>112.33870145049723</v>
      </c>
    </row>
    <row r="217" spans="2:20" x14ac:dyDescent="0.25">
      <c r="K217" s="4"/>
      <c r="L217" s="4"/>
      <c r="M217" s="4"/>
      <c r="N217" s="4"/>
      <c r="O217" s="4"/>
      <c r="P217" s="4"/>
      <c r="Q217" s="4"/>
      <c r="R217" s="4"/>
      <c r="S217" s="4"/>
      <c r="T217" s="4"/>
    </row>
    <row r="218" spans="2:20" x14ac:dyDescent="0.25">
      <c r="K218" s="4"/>
      <c r="L218" s="4"/>
      <c r="M218" s="4"/>
      <c r="N218" s="4"/>
      <c r="O218" s="4"/>
      <c r="P218" s="4"/>
      <c r="Q218" s="4"/>
      <c r="R218" s="4"/>
      <c r="S218" s="4"/>
      <c r="T218" s="4"/>
    </row>
    <row r="219" spans="2:20" x14ac:dyDescent="0.25">
      <c r="D219" s="2" t="s">
        <v>79</v>
      </c>
      <c r="E219" s="14">
        <f>E202</f>
        <v>0.05</v>
      </c>
      <c r="K219" s="14">
        <f>J202</f>
        <v>0.05</v>
      </c>
      <c r="L219" s="14">
        <f>K219</f>
        <v>0.05</v>
      </c>
      <c r="M219" s="14">
        <f t="shared" ref="M219:T220" si="19">L219</f>
        <v>0.05</v>
      </c>
      <c r="N219" s="14">
        <f t="shared" si="19"/>
        <v>0.05</v>
      </c>
      <c r="O219" s="14">
        <f t="shared" si="19"/>
        <v>0.05</v>
      </c>
      <c r="P219" s="14">
        <f t="shared" si="19"/>
        <v>0.05</v>
      </c>
      <c r="Q219" s="14">
        <f t="shared" si="19"/>
        <v>0.05</v>
      </c>
      <c r="R219" s="14">
        <f t="shared" si="19"/>
        <v>0.05</v>
      </c>
      <c r="S219" s="14">
        <f t="shared" si="19"/>
        <v>0.05</v>
      </c>
      <c r="T219" s="14">
        <f t="shared" si="19"/>
        <v>0.05</v>
      </c>
    </row>
    <row r="220" spans="2:20" x14ac:dyDescent="0.25">
      <c r="D220" s="2" t="s">
        <v>89</v>
      </c>
      <c r="E220" s="24">
        <f>P128</f>
        <v>1.3</v>
      </c>
      <c r="K220" s="2">
        <f>E220</f>
        <v>1.3</v>
      </c>
      <c r="L220" s="2">
        <f>K220</f>
        <v>1.3</v>
      </c>
      <c r="M220" s="2">
        <f t="shared" si="19"/>
        <v>1.3</v>
      </c>
      <c r="N220" s="2">
        <f t="shared" si="19"/>
        <v>1.3</v>
      </c>
      <c r="O220" s="2">
        <f t="shared" si="19"/>
        <v>1.3</v>
      </c>
      <c r="P220" s="2">
        <f t="shared" si="19"/>
        <v>1.3</v>
      </c>
      <c r="Q220" s="2">
        <f t="shared" si="19"/>
        <v>1.3</v>
      </c>
      <c r="R220" s="2">
        <f t="shared" si="19"/>
        <v>1.3</v>
      </c>
      <c r="S220" s="2">
        <f t="shared" si="19"/>
        <v>1.3</v>
      </c>
      <c r="T220" s="2">
        <f t="shared" si="19"/>
        <v>1.3</v>
      </c>
    </row>
    <row r="221" spans="2:20" x14ac:dyDescent="0.25">
      <c r="D221" s="2" t="s">
        <v>90</v>
      </c>
      <c r="K221" s="4">
        <f>K216/K220</f>
        <v>72.592478183643522</v>
      </c>
      <c r="L221" s="4">
        <f t="shared" ref="L221:T221" si="20">L216/L220</f>
        <v>74.044327747316387</v>
      </c>
      <c r="M221" s="4">
        <f t="shared" si="20"/>
        <v>75.525214302262725</v>
      </c>
      <c r="N221" s="4">
        <f t="shared" si="20"/>
        <v>77.035718588307972</v>
      </c>
      <c r="O221" s="4">
        <f t="shared" si="20"/>
        <v>78.576432960073845</v>
      </c>
      <c r="P221" s="4">
        <f t="shared" si="20"/>
        <v>80.147961619201141</v>
      </c>
      <c r="Q221" s="4">
        <f t="shared" si="20"/>
        <v>81.750920832296913</v>
      </c>
      <c r="R221" s="4">
        <f t="shared" si="20"/>
        <v>83.385934233997844</v>
      </c>
      <c r="S221" s="4">
        <f t="shared" si="20"/>
        <v>85.05234903297594</v>
      </c>
      <c r="T221" s="4">
        <f t="shared" si="20"/>
        <v>86.414385731151711</v>
      </c>
    </row>
    <row r="223" spans="2:20" x14ac:dyDescent="0.25">
      <c r="D223" s="2" t="s">
        <v>91</v>
      </c>
      <c r="E223" s="22">
        <f>NPV(E219,K221:T221)</f>
        <v>608.70358674475892</v>
      </c>
    </row>
    <row r="224" spans="2:20" x14ac:dyDescent="0.25">
      <c r="D224" s="2" t="s">
        <v>92</v>
      </c>
      <c r="E224" s="22">
        <f>NPV(E219,K214:T214)</f>
        <v>788.48193132869471</v>
      </c>
    </row>
    <row r="225" spans="2:21" x14ac:dyDescent="0.25">
      <c r="D225" s="2" t="s">
        <v>93</v>
      </c>
      <c r="E225" s="25">
        <f>E224/E223</f>
        <v>1.2953462875836812</v>
      </c>
    </row>
    <row r="227" spans="2:21" x14ac:dyDescent="0.25">
      <c r="D227" s="2" t="s">
        <v>94</v>
      </c>
      <c r="E227" s="22">
        <f>F149</f>
        <v>590.47469220135997</v>
      </c>
    </row>
    <row r="228" spans="2:21" x14ac:dyDescent="0.25">
      <c r="D228" s="2" t="s">
        <v>95</v>
      </c>
      <c r="E228" s="4">
        <f>E224/E227</f>
        <v>1.3353356913386756</v>
      </c>
    </row>
    <row r="230" spans="2:21" x14ac:dyDescent="0.25">
      <c r="B230" s="2" t="s">
        <v>96</v>
      </c>
      <c r="E230" s="14">
        <f>IRR(F230:T230)</f>
        <v>0.14734495795637859</v>
      </c>
      <c r="F230" s="4">
        <f>-F177</f>
        <v>-14.328753621238208</v>
      </c>
      <c r="G230" s="4">
        <f>-G177</f>
        <v>-21.493130431857313</v>
      </c>
      <c r="H230" s="4">
        <f>-H177</f>
        <v>-21.493130431857313</v>
      </c>
      <c r="I230" s="4">
        <f>-I177</f>
        <v>-14.328753621238208</v>
      </c>
      <c r="J230" s="4">
        <f>-J177</f>
        <v>-14.328753621238208</v>
      </c>
      <c r="K230" s="4">
        <f>K214-K221</f>
        <v>21.407521816356478</v>
      </c>
      <c r="L230" s="4">
        <f>L214-L221</f>
        <v>21.835672252683608</v>
      </c>
      <c r="M230" s="4">
        <f>M214-M221</f>
        <v>22.272385697737278</v>
      </c>
      <c r="N230" s="4">
        <f t="shared" ref="N230:T230" si="21">N214-N221</f>
        <v>22.717833411692027</v>
      </c>
      <c r="O230" s="4">
        <f t="shared" si="21"/>
        <v>23.172190079926153</v>
      </c>
      <c r="P230" s="4">
        <f t="shared" si="21"/>
        <v>23.635633881598864</v>
      </c>
      <c r="Q230" s="4">
        <f t="shared" si="21"/>
        <v>24.10834657851909</v>
      </c>
      <c r="R230" s="4">
        <f t="shared" si="21"/>
        <v>24.590518525034483</v>
      </c>
      <c r="S230" s="4">
        <f t="shared" si="21"/>
        <v>25.083632781237029</v>
      </c>
      <c r="T230" s="4">
        <f t="shared" si="21"/>
        <v>25.924315719345515</v>
      </c>
    </row>
    <row r="232" spans="2:21" x14ac:dyDescent="0.25">
      <c r="B232" s="2" t="s">
        <v>97</v>
      </c>
    </row>
    <row r="233" spans="2:21" x14ac:dyDescent="0.25">
      <c r="C233" s="2" t="s">
        <v>106</v>
      </c>
      <c r="J233" s="4">
        <f>K221</f>
        <v>72.592478183643522</v>
      </c>
      <c r="K233" s="4">
        <f t="shared" ref="K233:T233" si="22">L221</f>
        <v>74.044327747316387</v>
      </c>
      <c r="L233" s="4">
        <f t="shared" si="22"/>
        <v>75.525214302262725</v>
      </c>
      <c r="M233" s="4">
        <f t="shared" si="22"/>
        <v>77.035718588307972</v>
      </c>
      <c r="N233" s="4">
        <f t="shared" si="22"/>
        <v>78.576432960073845</v>
      </c>
      <c r="O233" s="4">
        <f t="shared" si="22"/>
        <v>80.147961619201141</v>
      </c>
      <c r="P233" s="4">
        <f t="shared" si="22"/>
        <v>81.750920832296913</v>
      </c>
      <c r="Q233" s="4">
        <f t="shared" si="22"/>
        <v>83.385934233997844</v>
      </c>
      <c r="R233" s="4">
        <f t="shared" si="22"/>
        <v>85.05234903297594</v>
      </c>
      <c r="S233" s="4">
        <f t="shared" si="22"/>
        <v>86.414385731151711</v>
      </c>
      <c r="T233" s="4">
        <f t="shared" si="22"/>
        <v>0</v>
      </c>
    </row>
    <row r="234" spans="2:21" x14ac:dyDescent="0.25">
      <c r="C234" s="2" t="s">
        <v>107</v>
      </c>
      <c r="E234" s="14">
        <f>T128</f>
        <v>0.5</v>
      </c>
      <c r="J234" s="14">
        <f>E234</f>
        <v>0.5</v>
      </c>
      <c r="K234" s="14">
        <f>J234</f>
        <v>0.5</v>
      </c>
      <c r="L234" s="14">
        <f t="shared" ref="L234:T234" si="23">K234</f>
        <v>0.5</v>
      </c>
      <c r="M234" s="14">
        <f t="shared" si="23"/>
        <v>0.5</v>
      </c>
      <c r="N234" s="14">
        <f t="shared" si="23"/>
        <v>0.5</v>
      </c>
      <c r="O234" s="14">
        <f t="shared" si="23"/>
        <v>0.5</v>
      </c>
      <c r="P234" s="14">
        <f t="shared" si="23"/>
        <v>0.5</v>
      </c>
      <c r="Q234" s="14">
        <f t="shared" si="23"/>
        <v>0.5</v>
      </c>
      <c r="R234" s="14">
        <f t="shared" si="23"/>
        <v>0.5</v>
      </c>
      <c r="S234" s="14">
        <f t="shared" si="23"/>
        <v>0.5</v>
      </c>
      <c r="T234" s="14">
        <f t="shared" si="23"/>
        <v>0.5</v>
      </c>
    </row>
    <row r="236" spans="2:21" x14ac:dyDescent="0.25">
      <c r="C236" s="2" t="s">
        <v>108</v>
      </c>
      <c r="J236" s="4">
        <f>J233*J234</f>
        <v>36.296239091821761</v>
      </c>
      <c r="K236" s="4">
        <f t="shared" ref="K236:T236" si="24">K233*K234</f>
        <v>37.022163873658194</v>
      </c>
      <c r="L236" s="4">
        <f t="shared" si="24"/>
        <v>37.762607151131363</v>
      </c>
      <c r="M236" s="4">
        <f t="shared" si="24"/>
        <v>38.517859294153986</v>
      </c>
      <c r="N236" s="4">
        <f t="shared" si="24"/>
        <v>39.288216480036922</v>
      </c>
      <c r="O236" s="4">
        <f t="shared" si="24"/>
        <v>40.07398080960057</v>
      </c>
      <c r="P236" s="4">
        <f t="shared" si="24"/>
        <v>40.875460416148456</v>
      </c>
      <c r="Q236" s="4">
        <f t="shared" si="24"/>
        <v>41.692967116998922</v>
      </c>
      <c r="R236" s="4">
        <f t="shared" si="24"/>
        <v>42.52617451648797</v>
      </c>
      <c r="S236" s="4">
        <f t="shared" si="24"/>
        <v>43.207192865575855</v>
      </c>
      <c r="T236" s="4">
        <f t="shared" si="24"/>
        <v>0</v>
      </c>
    </row>
    <row r="237" spans="2:21" x14ac:dyDescent="0.25">
      <c r="C237" s="2" t="s">
        <v>109</v>
      </c>
      <c r="E237" s="14">
        <f>U128</f>
        <v>0.01</v>
      </c>
      <c r="J237" s="14">
        <f>E237</f>
        <v>0.01</v>
      </c>
      <c r="K237" s="14">
        <f>J237</f>
        <v>0.01</v>
      </c>
      <c r="L237" s="14">
        <f t="shared" ref="L237:T237" si="25">K237</f>
        <v>0.01</v>
      </c>
      <c r="M237" s="14">
        <f t="shared" si="25"/>
        <v>0.01</v>
      </c>
      <c r="N237" s="14">
        <f t="shared" si="25"/>
        <v>0.01</v>
      </c>
      <c r="O237" s="14">
        <f t="shared" si="25"/>
        <v>0.01</v>
      </c>
      <c r="P237" s="14">
        <f t="shared" si="25"/>
        <v>0.01</v>
      </c>
      <c r="Q237" s="14">
        <f t="shared" si="25"/>
        <v>0.01</v>
      </c>
      <c r="R237" s="14">
        <f t="shared" si="25"/>
        <v>0.01</v>
      </c>
      <c r="S237" s="14">
        <f t="shared" si="25"/>
        <v>0.01</v>
      </c>
      <c r="T237" s="14">
        <f t="shared" si="25"/>
        <v>0.01</v>
      </c>
      <c r="U237" s="14"/>
    </row>
    <row r="238" spans="2:21" x14ac:dyDescent="0.25">
      <c r="C238" s="2" t="s">
        <v>109</v>
      </c>
      <c r="J238" s="4">
        <f>J236*J237</f>
        <v>0.36296239091821764</v>
      </c>
      <c r="K238" s="4">
        <f t="shared" ref="K238:T238" si="26">K236*K237</f>
        <v>0.37022163873658193</v>
      </c>
      <c r="L238" s="4">
        <f t="shared" si="26"/>
        <v>0.37762607151131361</v>
      </c>
      <c r="M238" s="4">
        <f t="shared" si="26"/>
        <v>0.38517859294153989</v>
      </c>
      <c r="N238" s="4">
        <f t="shared" si="26"/>
        <v>0.39288216480036925</v>
      </c>
      <c r="O238" s="4">
        <f t="shared" si="26"/>
        <v>0.40073980809600573</v>
      </c>
      <c r="P238" s="4">
        <f t="shared" si="26"/>
        <v>0.40875460416148457</v>
      </c>
      <c r="Q238" s="4">
        <f t="shared" si="26"/>
        <v>0.41692967116998925</v>
      </c>
      <c r="R238" s="4">
        <f t="shared" si="26"/>
        <v>0.42526174516487969</v>
      </c>
      <c r="S238" s="4">
        <f t="shared" si="26"/>
        <v>0.43207192865575855</v>
      </c>
      <c r="T238" s="4">
        <f t="shared" si="26"/>
        <v>0</v>
      </c>
      <c r="U238" s="4"/>
    </row>
    <row r="261" spans="1:8" x14ac:dyDescent="0.25">
      <c r="A261" s="1"/>
    </row>
    <row r="262" spans="1:8" x14ac:dyDescent="0.25">
      <c r="A262" s="1"/>
      <c r="C262" s="2" t="s">
        <v>110</v>
      </c>
      <c r="E262" s="4">
        <v>100</v>
      </c>
    </row>
    <row r="263" spans="1:8" x14ac:dyDescent="0.25">
      <c r="A263" s="1"/>
      <c r="C263" s="2" t="s">
        <v>111</v>
      </c>
      <c r="E263" s="4">
        <f>E271</f>
        <v>5.2631578947368425</v>
      </c>
    </row>
    <row r="264" spans="1:8" x14ac:dyDescent="0.25">
      <c r="A264" s="1"/>
      <c r="D264" s="2" t="s">
        <v>31</v>
      </c>
      <c r="E264" s="4">
        <v>105.6</v>
      </c>
      <c r="H264" s="2" t="s">
        <v>112</v>
      </c>
    </row>
    <row r="265" spans="1:8" x14ac:dyDescent="0.25">
      <c r="A265" s="1"/>
      <c r="E265" s="4"/>
      <c r="H265" s="2" t="s">
        <v>113</v>
      </c>
    </row>
    <row r="266" spans="1:8" x14ac:dyDescent="0.25">
      <c r="A266" s="1"/>
      <c r="C266" s="2" t="s">
        <v>25</v>
      </c>
      <c r="E266" s="4">
        <f>E273+E263</f>
        <v>85.26315789473685</v>
      </c>
      <c r="H266" s="2" t="s">
        <v>114</v>
      </c>
    </row>
    <row r="267" spans="1:8" x14ac:dyDescent="0.25">
      <c r="A267" s="1"/>
      <c r="C267" s="2" t="s">
        <v>29</v>
      </c>
      <c r="E267" s="4">
        <f>E264-E266</f>
        <v>20.336842105263145</v>
      </c>
      <c r="H267" s="2" t="s">
        <v>115</v>
      </c>
    </row>
    <row r="268" spans="1:8" x14ac:dyDescent="0.25">
      <c r="A268" s="1"/>
      <c r="D268" s="2" t="s">
        <v>31</v>
      </c>
      <c r="E268" s="4">
        <f>SUM(E266:E267)</f>
        <v>105.6</v>
      </c>
    </row>
    <row r="269" spans="1:8" x14ac:dyDescent="0.25">
      <c r="A269" s="1"/>
    </row>
    <row r="270" spans="1:8" x14ac:dyDescent="0.25">
      <c r="A270" s="1"/>
      <c r="C270" s="2" t="s">
        <v>79</v>
      </c>
      <c r="E270" s="14">
        <v>0.1</v>
      </c>
    </row>
    <row r="271" spans="1:8" x14ac:dyDescent="0.25">
      <c r="A271" s="1"/>
      <c r="C271" s="2" t="s">
        <v>79</v>
      </c>
      <c r="E271" s="4">
        <f>(E262/2*E270)/(1-E270/2)</f>
        <v>5.2631578947368425</v>
      </c>
    </row>
    <row r="272" spans="1:8" x14ac:dyDescent="0.25">
      <c r="A272" s="1"/>
    </row>
    <row r="273" spans="1:5" x14ac:dyDescent="0.25">
      <c r="A273" s="1"/>
      <c r="C273" s="2" t="s">
        <v>116</v>
      </c>
      <c r="E273" s="2">
        <v>80</v>
      </c>
    </row>
    <row r="274" spans="1:5" x14ac:dyDescent="0.25">
      <c r="A274" s="1"/>
      <c r="C274" s="2" t="s">
        <v>117</v>
      </c>
      <c r="E274" s="4">
        <f>E266</f>
        <v>85.26315789473685</v>
      </c>
    </row>
    <row r="275" spans="1:5" x14ac:dyDescent="0.25">
      <c r="A275" s="1"/>
      <c r="C275" s="2" t="s">
        <v>35</v>
      </c>
      <c r="E275" s="4">
        <f>E273-E274</f>
        <v>-5.2631578947368496</v>
      </c>
    </row>
    <row r="276" spans="1:5" x14ac:dyDescent="0.25">
      <c r="A276" s="1"/>
    </row>
  </sheetData>
  <dataValidations count="2">
    <dataValidation allowBlank="1" showInputMessage="1" showErrorMessage="1" promptTitle="Sumproduct" prompt="Use multiplication with sumproduct because of the switch variable" sqref="F18:F19 F131:F132"/>
    <dataValidation allowBlank="1" showInputMessage="1" showErrorMessage="1" promptTitle="Switch for End of Construction" prompt="Use this switch to get the total accumulated funding requirements" sqref="F41:J41 C41 F153:J153 C153"/>
  </dataValidations>
  <hyperlinks>
    <hyperlink ref="A1" location="'Contents'!A1" display="Contents"/>
  </hyperlink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025" r:id="rId3" name="Check Box 1">
              <controlPr defaultSize="0" autoFill="0" autoLine="0" autoPict="0" macro="[1]!CheckBox1_Click">
                <anchor moveWithCells="1">
                  <from>
                    <xdr:col>12</xdr:col>
                    <xdr:colOff>409575</xdr:colOff>
                    <xdr:row>25</xdr:row>
                    <xdr:rowOff>66675</xdr:rowOff>
                  </from>
                  <to>
                    <xdr:col>14</xdr:col>
                    <xdr:colOff>76200</xdr:colOff>
                    <xdr:row>26</xdr:row>
                    <xdr:rowOff>171450</xdr:rowOff>
                  </to>
                </anchor>
              </controlPr>
            </control>
          </mc:Choice>
        </mc:AlternateContent>
        <mc:AlternateContent xmlns:mc="http://schemas.openxmlformats.org/markup-compatibility/2006">
          <mc:Choice Requires="x14">
            <control shapeId="1026" r:id="rId4" name="Button 2">
              <controlPr defaultSize="0" print="0" autoFill="0" autoPict="0" macro="[1]!circ_one">
                <anchor moveWithCells="1" sizeWithCells="1">
                  <from>
                    <xdr:col>8</xdr:col>
                    <xdr:colOff>47625</xdr:colOff>
                    <xdr:row>0</xdr:row>
                    <xdr:rowOff>57150</xdr:rowOff>
                  </from>
                  <to>
                    <xdr:col>9</xdr:col>
                    <xdr:colOff>276225</xdr:colOff>
                    <xdr:row>1</xdr:row>
                    <xdr:rowOff>123825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3</xdr:col>
                    <xdr:colOff>1619250</xdr:colOff>
                    <xdr:row>13</xdr:row>
                    <xdr:rowOff>0</xdr:rowOff>
                  </from>
                  <to>
                    <xdr:col>3</xdr:col>
                    <xdr:colOff>1924050</xdr:colOff>
                    <xdr:row>14</xdr:row>
                    <xdr:rowOff>28575</xdr:rowOff>
                  </to>
                </anchor>
              </controlPr>
            </control>
          </mc:Choice>
        </mc:AlternateContent>
        <mc:AlternateContent xmlns:mc="http://schemas.openxmlformats.org/markup-compatibility/2006">
          <mc:Choice Requires="x14">
            <control shapeId="1028" r:id="rId6" name="Button 4">
              <controlPr defaultSize="0" print="0" autoFill="0" autoPict="0" macro="[1]!colourinputs">
                <anchor moveWithCells="1" sizeWithCells="1">
                  <from>
                    <xdr:col>11</xdr:col>
                    <xdr:colOff>28575</xdr:colOff>
                    <xdr:row>0</xdr:row>
                    <xdr:rowOff>38100</xdr:rowOff>
                  </from>
                  <to>
                    <xdr:col>12</xdr:col>
                    <xdr:colOff>495300</xdr:colOff>
                    <xdr:row>1</xdr:row>
                    <xdr:rowOff>123825</xdr:rowOff>
                  </to>
                </anchor>
              </controlPr>
            </control>
          </mc:Choice>
        </mc:AlternateContent>
        <mc:AlternateContent xmlns:mc="http://schemas.openxmlformats.org/markup-compatibility/2006">
          <mc:Choice Requires="x14">
            <control shapeId="1029" r:id="rId7" name="Check Box 5">
              <controlPr defaultSize="0" autoFill="0" autoLine="0" autoPict="0" macro="[1]!CheckBox1_Click">
                <anchor moveWithCells="1">
                  <from>
                    <xdr:col>12</xdr:col>
                    <xdr:colOff>409575</xdr:colOff>
                    <xdr:row>138</xdr:row>
                    <xdr:rowOff>66675</xdr:rowOff>
                  </from>
                  <to>
                    <xdr:col>14</xdr:col>
                    <xdr:colOff>76200</xdr:colOff>
                    <xdr:row>139</xdr:row>
                    <xdr:rowOff>171450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3</xdr:col>
                    <xdr:colOff>1619250</xdr:colOff>
                    <xdr:row>126</xdr:row>
                    <xdr:rowOff>0</xdr:rowOff>
                  </from>
                  <to>
                    <xdr:col>3</xdr:col>
                    <xdr:colOff>1924050</xdr:colOff>
                    <xdr:row>127</xdr:row>
                    <xdr:rowOff>28575</xdr:rowOff>
                  </to>
                </anchor>
              </controlPr>
            </control>
          </mc:Choice>
        </mc:AlternateContent>
        <mc:AlternateContent xmlns:mc="http://schemas.openxmlformats.org/markup-compatibility/2006">
          <mc:Choice Requires="x14">
            <control shapeId="1031" r:id="rId9" name="Check Box 7">
              <controlPr defaultSize="0" autoFill="0" autoLine="0" autoPict="0" macro="[1]!CheckBox1_Click">
                <anchor moveWithCells="1">
                  <from>
                    <xdr:col>6</xdr:col>
                    <xdr:colOff>38100</xdr:colOff>
                    <xdr:row>0</xdr:row>
                    <xdr:rowOff>76200</xdr:rowOff>
                  </from>
                  <to>
                    <xdr:col>7</xdr:col>
                    <xdr:colOff>504825</xdr:colOff>
                    <xdr:row>1</xdr:row>
                    <xdr:rowOff>180975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3"/>
  <dimension ref="A1:S357"/>
  <sheetViews>
    <sheetView topLeftCell="A144" zoomScale="90" zoomScaleNormal="90" workbookViewId="0">
      <selection activeCell="A170" sqref="A170"/>
    </sheetView>
  </sheetViews>
  <sheetFormatPr defaultRowHeight="15" x14ac:dyDescent="0.25"/>
  <cols>
    <col min="1" max="3" width="2.7109375" customWidth="1"/>
    <col min="4" max="4" width="32.85546875" customWidth="1"/>
    <col min="5" max="48" width="10.7109375" customWidth="1"/>
  </cols>
  <sheetData>
    <row r="1" spans="1:10" x14ac:dyDescent="0.25">
      <c r="A1" s="26" t="s">
        <v>0</v>
      </c>
    </row>
    <row r="2" spans="1:10" x14ac:dyDescent="0.25">
      <c r="A2" s="26"/>
      <c r="B2" t="s">
        <v>6</v>
      </c>
    </row>
    <row r="3" spans="1:10" x14ac:dyDescent="0.25">
      <c r="C3" t="s">
        <v>29</v>
      </c>
      <c r="F3">
        <v>200</v>
      </c>
    </row>
    <row r="4" spans="1:10" x14ac:dyDescent="0.25">
      <c r="C4" t="s">
        <v>30</v>
      </c>
      <c r="F4">
        <v>400</v>
      </c>
    </row>
    <row r="5" spans="1:10" x14ac:dyDescent="0.25">
      <c r="C5" t="s">
        <v>118</v>
      </c>
      <c r="F5">
        <f>F8-F3-F4</f>
        <v>280</v>
      </c>
    </row>
    <row r="6" spans="1:10" ht="15.75" thickBot="1" x14ac:dyDescent="0.3">
      <c r="D6" s="27" t="s">
        <v>31</v>
      </c>
      <c r="E6" s="27"/>
      <c r="F6" s="27">
        <f>SUM(F3:F5)</f>
        <v>880</v>
      </c>
    </row>
    <row r="7" spans="1:10" ht="15.75" thickTop="1" x14ac:dyDescent="0.25"/>
    <row r="8" spans="1:10" x14ac:dyDescent="0.25">
      <c r="B8" t="s">
        <v>32</v>
      </c>
      <c r="F8">
        <f>SUMPRODUCT(F87:J87*F18:J18)</f>
        <v>880</v>
      </c>
    </row>
    <row r="10" spans="1:10" x14ac:dyDescent="0.25">
      <c r="B10" t="s">
        <v>35</v>
      </c>
      <c r="F10">
        <f>F6-F8</f>
        <v>0</v>
      </c>
    </row>
    <row r="12" spans="1:10" x14ac:dyDescent="0.25">
      <c r="B12" t="s">
        <v>119</v>
      </c>
    </row>
    <row r="13" spans="1:10" x14ac:dyDescent="0.25">
      <c r="C13" t="s">
        <v>53</v>
      </c>
      <c r="F13">
        <f>G13-1</f>
        <v>-4</v>
      </c>
      <c r="G13">
        <f>H13-1</f>
        <v>-3</v>
      </c>
      <c r="H13">
        <f>I13-1</f>
        <v>-2</v>
      </c>
      <c r="I13">
        <f>J13-1</f>
        <v>-1</v>
      </c>
      <c r="J13">
        <v>0</v>
      </c>
    </row>
    <row r="14" spans="1:10" x14ac:dyDescent="0.25">
      <c r="C14" t="s">
        <v>54</v>
      </c>
      <c r="F14" t="b">
        <f>F13=0</f>
        <v>0</v>
      </c>
      <c r="G14" t="b">
        <f>G13=0</f>
        <v>0</v>
      </c>
      <c r="H14" t="b">
        <f>H13=0</f>
        <v>0</v>
      </c>
      <c r="I14" t="b">
        <f>I13=0</f>
        <v>0</v>
      </c>
      <c r="J14" t="b">
        <f>J13=0</f>
        <v>1</v>
      </c>
    </row>
    <row r="16" spans="1:10" ht="15.75" thickBot="1" x14ac:dyDescent="0.3">
      <c r="C16" s="27" t="s">
        <v>120</v>
      </c>
      <c r="D16" s="27"/>
      <c r="E16" s="27"/>
      <c r="F16" s="28">
        <v>100</v>
      </c>
      <c r="G16" s="28">
        <v>130</v>
      </c>
      <c r="H16" s="28">
        <v>180</v>
      </c>
      <c r="I16" s="28">
        <v>220</v>
      </c>
      <c r="J16" s="28">
        <v>250</v>
      </c>
    </row>
    <row r="17" spans="3:10" ht="15.75" thickTop="1" x14ac:dyDescent="0.25"/>
    <row r="18" spans="3:10" x14ac:dyDescent="0.25">
      <c r="C18" t="s">
        <v>121</v>
      </c>
      <c r="F18">
        <f>D18+F16</f>
        <v>100</v>
      </c>
      <c r="G18">
        <f>F18+G16</f>
        <v>230</v>
      </c>
      <c r="H18">
        <f>G18+H16</f>
        <v>410</v>
      </c>
      <c r="I18">
        <f>H18+I16</f>
        <v>630</v>
      </c>
      <c r="J18">
        <f>I18+J16</f>
        <v>880</v>
      </c>
    </row>
    <row r="20" spans="3:10" x14ac:dyDescent="0.25">
      <c r="C20" t="s">
        <v>122</v>
      </c>
      <c r="F20">
        <f>$F$3</f>
        <v>200</v>
      </c>
      <c r="G20">
        <f>$F$3</f>
        <v>200</v>
      </c>
      <c r="H20">
        <f>$F$3</f>
        <v>200</v>
      </c>
      <c r="I20">
        <f>$F$3</f>
        <v>200</v>
      </c>
      <c r="J20">
        <f>$F$3</f>
        <v>200</v>
      </c>
    </row>
    <row r="21" spans="3:10" x14ac:dyDescent="0.25">
      <c r="C21" t="s">
        <v>123</v>
      </c>
      <c r="F21">
        <f>F24</f>
        <v>0</v>
      </c>
      <c r="G21">
        <f>G24</f>
        <v>100</v>
      </c>
      <c r="H21">
        <f>H24</f>
        <v>200</v>
      </c>
      <c r="I21">
        <f>I24</f>
        <v>200</v>
      </c>
      <c r="J21">
        <f>J24</f>
        <v>200</v>
      </c>
    </row>
    <row r="22" spans="3:10" x14ac:dyDescent="0.25">
      <c r="C22" t="s">
        <v>124</v>
      </c>
      <c r="F22">
        <f>F20-F21</f>
        <v>200</v>
      </c>
      <c r="G22">
        <f>G20-G21</f>
        <v>100</v>
      </c>
      <c r="H22">
        <f>H20-H21</f>
        <v>0</v>
      </c>
      <c r="I22">
        <f>I20-I21</f>
        <v>0</v>
      </c>
      <c r="J22">
        <f>J20-J21</f>
        <v>0</v>
      </c>
    </row>
    <row r="24" spans="3:10" ht="15.75" thickBot="1" x14ac:dyDescent="0.3">
      <c r="C24" t="s">
        <v>70</v>
      </c>
      <c r="F24">
        <f>D26</f>
        <v>0</v>
      </c>
      <c r="G24">
        <f>F26</f>
        <v>100</v>
      </c>
      <c r="H24">
        <f>G26</f>
        <v>200</v>
      </c>
      <c r="I24">
        <f>H26</f>
        <v>200</v>
      </c>
      <c r="J24">
        <f>I26</f>
        <v>200</v>
      </c>
    </row>
    <row r="25" spans="3:10" ht="15.75" thickBot="1" x14ac:dyDescent="0.3">
      <c r="C25" s="29" t="s">
        <v>125</v>
      </c>
      <c r="D25" s="30"/>
      <c r="E25" s="30"/>
      <c r="F25" s="30">
        <f>MIN(F16,F22)</f>
        <v>100</v>
      </c>
      <c r="G25" s="30">
        <f>MIN(G16,G22)</f>
        <v>100</v>
      </c>
      <c r="H25" s="30">
        <f>MIN(H16,H22)</f>
        <v>0</v>
      </c>
      <c r="I25" s="30">
        <f>MIN(I16,I22)</f>
        <v>0</v>
      </c>
      <c r="J25" s="31">
        <f>MIN(J16,J22)</f>
        <v>0</v>
      </c>
    </row>
    <row r="26" spans="3:10" x14ac:dyDescent="0.25">
      <c r="C26" t="s">
        <v>72</v>
      </c>
      <c r="F26">
        <f>F24+F25</f>
        <v>100</v>
      </c>
      <c r="G26">
        <f>G24+G25</f>
        <v>200</v>
      </c>
      <c r="H26">
        <f>H24+H25</f>
        <v>200</v>
      </c>
      <c r="I26">
        <f>I24+I25</f>
        <v>200</v>
      </c>
      <c r="J26">
        <f>J24+J25</f>
        <v>200</v>
      </c>
    </row>
    <row r="28" spans="3:10" ht="15.75" thickBot="1" x14ac:dyDescent="0.3">
      <c r="C28" s="27" t="s">
        <v>126</v>
      </c>
      <c r="D28" s="27"/>
      <c r="E28" s="27"/>
      <c r="F28" s="27">
        <f>F16-F25</f>
        <v>0</v>
      </c>
      <c r="G28" s="27">
        <f>G16-G25</f>
        <v>30</v>
      </c>
      <c r="H28" s="27">
        <f>H16-H25</f>
        <v>180</v>
      </c>
      <c r="I28" s="27">
        <f>I16-I25</f>
        <v>220</v>
      </c>
      <c r="J28" s="27">
        <f>J16-J25</f>
        <v>250</v>
      </c>
    </row>
    <row r="29" spans="3:10" ht="15.75" thickTop="1" x14ac:dyDescent="0.25"/>
    <row r="30" spans="3:10" x14ac:dyDescent="0.25">
      <c r="C30" t="s">
        <v>127</v>
      </c>
      <c r="F30">
        <f>$F$5</f>
        <v>280</v>
      </c>
      <c r="G30">
        <f>$F$5</f>
        <v>280</v>
      </c>
      <c r="H30">
        <f>$F$5</f>
        <v>280</v>
      </c>
      <c r="I30">
        <f>$F$5</f>
        <v>280</v>
      </c>
      <c r="J30">
        <f>$F$5</f>
        <v>280</v>
      </c>
    </row>
    <row r="31" spans="3:10" x14ac:dyDescent="0.25">
      <c r="C31" t="s">
        <v>128</v>
      </c>
      <c r="F31">
        <f>F34</f>
        <v>0</v>
      </c>
      <c r="G31">
        <f>G34</f>
        <v>0</v>
      </c>
      <c r="H31">
        <f>H34</f>
        <v>30</v>
      </c>
      <c r="I31">
        <f>I34</f>
        <v>210</v>
      </c>
      <c r="J31">
        <f>J34</f>
        <v>280</v>
      </c>
    </row>
    <row r="32" spans="3:10" x14ac:dyDescent="0.25">
      <c r="C32" t="s">
        <v>129</v>
      </c>
      <c r="F32">
        <f>F30-F31</f>
        <v>280</v>
      </c>
      <c r="G32">
        <f>G30-G31</f>
        <v>280</v>
      </c>
      <c r="H32">
        <f>H30-H31</f>
        <v>250</v>
      </c>
      <c r="I32">
        <f>I30-I31</f>
        <v>70</v>
      </c>
      <c r="J32">
        <f>J30-J31</f>
        <v>0</v>
      </c>
    </row>
    <row r="34" spans="3:10" ht="15.75" thickBot="1" x14ac:dyDescent="0.3">
      <c r="C34" t="s">
        <v>70</v>
      </c>
      <c r="F34">
        <f>D36</f>
        <v>0</v>
      </c>
      <c r="G34">
        <f>F36</f>
        <v>0</v>
      </c>
      <c r="H34">
        <f>G36</f>
        <v>30</v>
      </c>
      <c r="I34">
        <f>H36</f>
        <v>210</v>
      </c>
      <c r="J34">
        <f>I36</f>
        <v>280</v>
      </c>
    </row>
    <row r="35" spans="3:10" ht="15.75" thickBot="1" x14ac:dyDescent="0.3">
      <c r="C35" s="29" t="s">
        <v>125</v>
      </c>
      <c r="D35" s="30"/>
      <c r="E35" s="30"/>
      <c r="F35" s="30">
        <f>MIN(F32,F28)</f>
        <v>0</v>
      </c>
      <c r="G35" s="30">
        <f>MIN(G32,G28)</f>
        <v>30</v>
      </c>
      <c r="H35" s="30">
        <f>MIN(H32,H28)</f>
        <v>180</v>
      </c>
      <c r="I35" s="30">
        <f>MIN(I32,I28)</f>
        <v>70</v>
      </c>
      <c r="J35" s="31">
        <f>MIN(J32,J28)</f>
        <v>0</v>
      </c>
    </row>
    <row r="36" spans="3:10" x14ac:dyDescent="0.25">
      <c r="C36" t="s">
        <v>72</v>
      </c>
      <c r="F36">
        <f>F34+F35</f>
        <v>0</v>
      </c>
      <c r="G36">
        <f>G34+G35</f>
        <v>30</v>
      </c>
      <c r="H36">
        <f>H34+H35</f>
        <v>210</v>
      </c>
      <c r="I36">
        <f>I34+I35</f>
        <v>280</v>
      </c>
      <c r="J36">
        <f>J34+J35</f>
        <v>280</v>
      </c>
    </row>
    <row r="38" spans="3:10" ht="15.75" thickBot="1" x14ac:dyDescent="0.3">
      <c r="C38" s="27" t="s">
        <v>130</v>
      </c>
      <c r="D38" s="27"/>
      <c r="E38" s="27"/>
      <c r="F38" s="27">
        <f>F28-F35</f>
        <v>0</v>
      </c>
      <c r="G38" s="27">
        <f>G28-G35</f>
        <v>0</v>
      </c>
      <c r="H38" s="27">
        <f>H28-H35</f>
        <v>0</v>
      </c>
      <c r="I38" s="27">
        <f>I28-I35</f>
        <v>150</v>
      </c>
      <c r="J38" s="27">
        <f>J28-J35</f>
        <v>250</v>
      </c>
    </row>
    <row r="39" spans="3:10" ht="15.75" thickTop="1" x14ac:dyDescent="0.25"/>
    <row r="40" spans="3:10" x14ac:dyDescent="0.25">
      <c r="C40" t="s">
        <v>131</v>
      </c>
      <c r="F40">
        <f>$F$4</f>
        <v>400</v>
      </c>
      <c r="G40">
        <f>$F$4</f>
        <v>400</v>
      </c>
      <c r="H40">
        <f>$F$4</f>
        <v>400</v>
      </c>
      <c r="I40">
        <f>$F$4</f>
        <v>400</v>
      </c>
      <c r="J40">
        <f>$F$4</f>
        <v>400</v>
      </c>
    </row>
    <row r="41" spans="3:10" x14ac:dyDescent="0.25">
      <c r="C41" t="s">
        <v>132</v>
      </c>
      <c r="F41">
        <f>F44</f>
        <v>0</v>
      </c>
      <c r="G41">
        <f>G44</f>
        <v>0</v>
      </c>
      <c r="H41">
        <f>H44</f>
        <v>0</v>
      </c>
      <c r="I41">
        <f>I44</f>
        <v>0</v>
      </c>
      <c r="J41">
        <f>J44</f>
        <v>150</v>
      </c>
    </row>
    <row r="42" spans="3:10" x14ac:dyDescent="0.25">
      <c r="C42" t="s">
        <v>133</v>
      </c>
      <c r="F42">
        <f>F40-F41</f>
        <v>400</v>
      </c>
      <c r="G42">
        <f>G40-G41</f>
        <v>400</v>
      </c>
      <c r="H42">
        <f>H40-H41</f>
        <v>400</v>
      </c>
      <c r="I42">
        <f>I40-I41</f>
        <v>400</v>
      </c>
      <c r="J42">
        <f>J40-J41</f>
        <v>250</v>
      </c>
    </row>
    <row r="44" spans="3:10" ht="15.75" thickBot="1" x14ac:dyDescent="0.3">
      <c r="C44" t="s">
        <v>70</v>
      </c>
      <c r="F44">
        <f>D46</f>
        <v>0</v>
      </c>
      <c r="G44">
        <f>F46</f>
        <v>0</v>
      </c>
      <c r="H44">
        <f>G46</f>
        <v>0</v>
      </c>
      <c r="I44">
        <f>H46</f>
        <v>0</v>
      </c>
      <c r="J44">
        <f>I46</f>
        <v>150</v>
      </c>
    </row>
    <row r="45" spans="3:10" ht="15.75" thickBot="1" x14ac:dyDescent="0.3">
      <c r="C45" s="29" t="s">
        <v>71</v>
      </c>
      <c r="D45" s="30"/>
      <c r="E45" s="30"/>
      <c r="F45" s="30">
        <f>MIN(F42,F38)</f>
        <v>0</v>
      </c>
      <c r="G45" s="30">
        <f>MIN(G42,G38)</f>
        <v>0</v>
      </c>
      <c r="H45" s="30">
        <f>MIN(H42,H38)</f>
        <v>0</v>
      </c>
      <c r="I45" s="30">
        <f>MIN(I42,I38)</f>
        <v>150</v>
      </c>
      <c r="J45" s="31">
        <f>MIN(J42,J38)</f>
        <v>250</v>
      </c>
    </row>
    <row r="46" spans="3:10" x14ac:dyDescent="0.25">
      <c r="C46" t="s">
        <v>72</v>
      </c>
      <c r="F46">
        <f>F44+F45</f>
        <v>0</v>
      </c>
      <c r="G46">
        <f>G44+G45</f>
        <v>0</v>
      </c>
      <c r="H46">
        <f>H44+H45</f>
        <v>0</v>
      </c>
      <c r="I46">
        <f>I44+I45</f>
        <v>150</v>
      </c>
      <c r="J46">
        <f>J44+J45</f>
        <v>400</v>
      </c>
    </row>
    <row r="50" spans="1:19" s="32" customFormat="1" x14ac:dyDescent="0.25"/>
    <row r="51" spans="1:19" x14ac:dyDescent="0.25">
      <c r="A51" t="s">
        <v>134</v>
      </c>
    </row>
    <row r="52" spans="1:19" x14ac:dyDescent="0.25">
      <c r="E52" s="33" t="s">
        <v>135</v>
      </c>
      <c r="F52" s="33"/>
      <c r="G52" t="s">
        <v>136</v>
      </c>
      <c r="H52" s="33" t="s">
        <v>137</v>
      </c>
      <c r="I52" s="33" t="s">
        <v>138</v>
      </c>
      <c r="J52" s="33"/>
      <c r="K52" s="33"/>
      <c r="L52" s="33" t="s">
        <v>19</v>
      </c>
      <c r="M52" s="33" t="s">
        <v>139</v>
      </c>
      <c r="N52" s="33" t="s">
        <v>140</v>
      </c>
      <c r="O52" s="33" t="s">
        <v>141</v>
      </c>
      <c r="P52" s="33" t="s">
        <v>141</v>
      </c>
      <c r="Q52" s="33" t="s">
        <v>142</v>
      </c>
      <c r="R52" s="33"/>
      <c r="S52" s="33"/>
    </row>
    <row r="53" spans="1:19" x14ac:dyDescent="0.25">
      <c r="E53" s="33" t="s">
        <v>27</v>
      </c>
      <c r="F53" s="33" t="s">
        <v>31</v>
      </c>
      <c r="G53" t="s">
        <v>27</v>
      </c>
      <c r="H53" s="33" t="s">
        <v>143</v>
      </c>
      <c r="I53" s="33" t="s">
        <v>16</v>
      </c>
      <c r="J53" s="33" t="s">
        <v>144</v>
      </c>
      <c r="K53" s="33" t="s">
        <v>145</v>
      </c>
      <c r="L53" s="33" t="s">
        <v>8</v>
      </c>
      <c r="M53" s="33" t="s">
        <v>146</v>
      </c>
      <c r="N53" s="33" t="s">
        <v>18</v>
      </c>
      <c r="O53" s="33" t="s">
        <v>16</v>
      </c>
      <c r="P53" s="33" t="s">
        <v>19</v>
      </c>
      <c r="Q53" s="33" t="s">
        <v>147</v>
      </c>
      <c r="R53" s="33" t="s">
        <v>16</v>
      </c>
      <c r="S53" s="33" t="s">
        <v>148</v>
      </c>
    </row>
    <row r="54" spans="1:19" x14ac:dyDescent="0.25">
      <c r="B54" t="s">
        <v>6</v>
      </c>
      <c r="E54" s="33" t="s">
        <v>149</v>
      </c>
      <c r="F54" s="33" t="s">
        <v>27</v>
      </c>
      <c r="G54" t="s">
        <v>53</v>
      </c>
      <c r="H54" s="33" t="s">
        <v>27</v>
      </c>
      <c r="I54" s="33" t="s">
        <v>150</v>
      </c>
      <c r="J54" s="33" t="s">
        <v>150</v>
      </c>
      <c r="K54" s="33" t="s">
        <v>27</v>
      </c>
      <c r="L54" s="33" t="s">
        <v>10</v>
      </c>
      <c r="M54" s="33" t="s">
        <v>151</v>
      </c>
      <c r="N54" s="33" t="s">
        <v>152</v>
      </c>
      <c r="O54" s="33" t="s">
        <v>21</v>
      </c>
      <c r="P54" s="33" t="s">
        <v>21</v>
      </c>
      <c r="Q54" s="33" t="s">
        <v>153</v>
      </c>
      <c r="R54" s="33" t="s">
        <v>28</v>
      </c>
      <c r="S54" s="33" t="s">
        <v>154</v>
      </c>
    </row>
    <row r="55" spans="1:19" ht="15.75" thickBot="1" x14ac:dyDescent="0.3">
      <c r="C55" t="s">
        <v>29</v>
      </c>
      <c r="E55" t="b">
        <v>0</v>
      </c>
      <c r="F55" s="34">
        <v>50</v>
      </c>
      <c r="G55" t="b">
        <v>1</v>
      </c>
      <c r="H55">
        <v>1</v>
      </c>
      <c r="I55" s="35">
        <f>CHOOSE(M55,E126,E161,E196)</f>
        <v>0</v>
      </c>
      <c r="J55" s="35">
        <f>CHOOSE(M55,E127,E162,E197)</f>
        <v>0</v>
      </c>
      <c r="K55" s="35">
        <f>F55</f>
        <v>50</v>
      </c>
      <c r="L55" s="36">
        <v>0</v>
      </c>
      <c r="M55">
        <v>1</v>
      </c>
      <c r="O55" t="b">
        <v>0</v>
      </c>
      <c r="P55" t="b">
        <v>0</v>
      </c>
      <c r="Q55" s="36">
        <v>0.05</v>
      </c>
      <c r="R55" s="36">
        <v>0</v>
      </c>
      <c r="S55" t="b">
        <v>0</v>
      </c>
    </row>
    <row r="56" spans="1:19" ht="15.75" thickBot="1" x14ac:dyDescent="0.3">
      <c r="C56" t="s">
        <v>155</v>
      </c>
      <c r="E56" t="b">
        <v>1</v>
      </c>
      <c r="F56" s="37">
        <f>F69</f>
        <v>67.33439999999996</v>
      </c>
      <c r="G56" t="b">
        <v>0</v>
      </c>
      <c r="I56" s="35">
        <f>CHOOSE(M56,E126,E161,E197)</f>
        <v>3.3667199999999982</v>
      </c>
      <c r="J56" s="35">
        <f>CHOOSE(M56,E127,E162,E197)</f>
        <v>3.3667199999999982</v>
      </c>
      <c r="K56" s="35">
        <f>I60-K55-K57</f>
        <v>67.33439999999996</v>
      </c>
      <c r="L56" s="36">
        <v>0.01</v>
      </c>
      <c r="M56">
        <v>3</v>
      </c>
      <c r="O56" t="b">
        <v>1</v>
      </c>
      <c r="P56" t="b">
        <v>1</v>
      </c>
      <c r="Q56" s="36">
        <v>0.85</v>
      </c>
      <c r="R56" s="36">
        <v>0.05</v>
      </c>
      <c r="S56" t="b">
        <v>1</v>
      </c>
    </row>
    <row r="57" spans="1:19" ht="15.75" thickBot="1" x14ac:dyDescent="0.3">
      <c r="C57" t="s">
        <v>156</v>
      </c>
      <c r="E57" t="b">
        <v>0</v>
      </c>
      <c r="F57" s="38">
        <v>600</v>
      </c>
      <c r="G57" t="b">
        <v>0</v>
      </c>
      <c r="I57" s="35">
        <f>CHOOSE(M57,E126,E161,E196)</f>
        <v>132.66560000000001</v>
      </c>
      <c r="J57" s="35">
        <f>CHOOSE(M57,E127,E162,E197)</f>
        <v>30</v>
      </c>
      <c r="K57" s="39">
        <f>F73</f>
        <v>762.66560000000004</v>
      </c>
      <c r="L57" s="36">
        <v>0.02</v>
      </c>
      <c r="M57">
        <v>2</v>
      </c>
      <c r="N57">
        <v>1.25</v>
      </c>
      <c r="O57" t="b">
        <v>1</v>
      </c>
      <c r="P57" t="b">
        <v>1</v>
      </c>
      <c r="Q57" s="36">
        <v>0.05</v>
      </c>
      <c r="R57" s="36">
        <v>0.1</v>
      </c>
      <c r="S57" t="b">
        <v>0</v>
      </c>
    </row>
    <row r="58" spans="1:19" x14ac:dyDescent="0.25">
      <c r="C58" t="s">
        <v>157</v>
      </c>
      <c r="F58" s="38"/>
      <c r="G58" s="35"/>
      <c r="H58" s="35"/>
      <c r="I58" s="40"/>
      <c r="J58" s="36"/>
      <c r="O58" s="36"/>
      <c r="P58" s="36"/>
    </row>
    <row r="60" spans="1:19" x14ac:dyDescent="0.25">
      <c r="F60" s="35">
        <f>SUM(F55:F59)</f>
        <v>717.33439999999996</v>
      </c>
      <c r="G60" s="35">
        <f>SUM(I55:I57)</f>
        <v>136.03232</v>
      </c>
      <c r="H60" s="35">
        <f>SUM(J55:J57)</f>
        <v>33.366720000000001</v>
      </c>
      <c r="I60" s="35">
        <f>F65</f>
        <v>880</v>
      </c>
    </row>
    <row r="61" spans="1:19" x14ac:dyDescent="0.25">
      <c r="F61" s="35"/>
      <c r="G61" s="35"/>
      <c r="H61" s="35"/>
      <c r="I61" s="35"/>
    </row>
    <row r="62" spans="1:19" x14ac:dyDescent="0.25">
      <c r="C62" t="s">
        <v>158</v>
      </c>
      <c r="E62" t="s">
        <v>159</v>
      </c>
      <c r="F62" s="35">
        <v>200</v>
      </c>
      <c r="G62" s="35"/>
      <c r="H62" s="35"/>
      <c r="I62" s="35"/>
    </row>
    <row r="64" spans="1:19" x14ac:dyDescent="0.25">
      <c r="C64" t="s">
        <v>160</v>
      </c>
      <c r="E64" t="s">
        <v>34</v>
      </c>
      <c r="F64" s="35">
        <f>F83</f>
        <v>880</v>
      </c>
      <c r="G64" t="s">
        <v>161</v>
      </c>
    </row>
    <row r="65" spans="1:9" x14ac:dyDescent="0.25">
      <c r="C65" t="s">
        <v>162</v>
      </c>
      <c r="E65" t="s">
        <v>33</v>
      </c>
      <c r="F65" s="41">
        <v>880</v>
      </c>
      <c r="G65" t="s">
        <v>163</v>
      </c>
    </row>
    <row r="66" spans="1:9" x14ac:dyDescent="0.25">
      <c r="C66" t="s">
        <v>35</v>
      </c>
      <c r="E66" t="s">
        <v>36</v>
      </c>
      <c r="F66" s="42">
        <f>F64-F65</f>
        <v>0</v>
      </c>
      <c r="G66" t="s">
        <v>164</v>
      </c>
    </row>
    <row r="67" spans="1:9" x14ac:dyDescent="0.25">
      <c r="F67" s="35"/>
    </row>
    <row r="68" spans="1:9" x14ac:dyDescent="0.25">
      <c r="C68" t="s">
        <v>165</v>
      </c>
      <c r="E68" t="s">
        <v>34</v>
      </c>
      <c r="F68" s="43">
        <f>K56</f>
        <v>67.33439999999996</v>
      </c>
      <c r="G68" t="s">
        <v>166</v>
      </c>
    </row>
    <row r="69" spans="1:9" x14ac:dyDescent="0.25">
      <c r="C69" t="s">
        <v>167</v>
      </c>
      <c r="E69" t="s">
        <v>33</v>
      </c>
      <c r="F69" s="41">
        <v>67.33439999999996</v>
      </c>
      <c r="G69" t="s">
        <v>168</v>
      </c>
    </row>
    <row r="70" spans="1:9" x14ac:dyDescent="0.25">
      <c r="C70" t="s">
        <v>35</v>
      </c>
      <c r="E70" t="s">
        <v>36</v>
      </c>
      <c r="F70" s="42">
        <f>F68-F69</f>
        <v>0</v>
      </c>
      <c r="G70" t="s">
        <v>169</v>
      </c>
    </row>
    <row r="71" spans="1:9" x14ac:dyDescent="0.25">
      <c r="F71" s="35"/>
    </row>
    <row r="72" spans="1:9" x14ac:dyDescent="0.25">
      <c r="C72" t="s">
        <v>170</v>
      </c>
      <c r="E72" t="s">
        <v>34</v>
      </c>
      <c r="F72" s="35">
        <f>F57+I57+J57</f>
        <v>762.66560000000004</v>
      </c>
      <c r="G72" t="s">
        <v>171</v>
      </c>
      <c r="I72" s="35">
        <f>CHOOSE(M57,J111,J144,J181)</f>
        <v>925.33120000000008</v>
      </c>
    </row>
    <row r="73" spans="1:9" x14ac:dyDescent="0.25">
      <c r="C73" t="s">
        <v>172</v>
      </c>
      <c r="E73" t="s">
        <v>33</v>
      </c>
      <c r="F73" s="41">
        <v>762.66560000000004</v>
      </c>
      <c r="G73" t="s">
        <v>173</v>
      </c>
    </row>
    <row r="74" spans="1:9" x14ac:dyDescent="0.25">
      <c r="C74" t="s">
        <v>35</v>
      </c>
      <c r="E74" t="s">
        <v>36</v>
      </c>
      <c r="F74" s="42">
        <f>F72-senior_to</f>
        <v>0</v>
      </c>
      <c r="G74" t="s">
        <v>174</v>
      </c>
    </row>
    <row r="76" spans="1:9" x14ac:dyDescent="0.25">
      <c r="C76" t="s">
        <v>175</v>
      </c>
      <c r="F76" s="35">
        <v>0</v>
      </c>
      <c r="G76" t="s">
        <v>176</v>
      </c>
    </row>
    <row r="78" spans="1:9" x14ac:dyDescent="0.25">
      <c r="A78" t="s">
        <v>177</v>
      </c>
      <c r="B78" t="s">
        <v>32</v>
      </c>
    </row>
    <row r="79" spans="1:9" x14ac:dyDescent="0.25">
      <c r="C79" t="s">
        <v>110</v>
      </c>
      <c r="F79" s="35">
        <f>SUMPRODUCT(F88:J88*F91:J91)</f>
        <v>880</v>
      </c>
    </row>
    <row r="80" spans="1:9" x14ac:dyDescent="0.25">
      <c r="C80" t="s">
        <v>178</v>
      </c>
    </row>
    <row r="81" spans="2:10" x14ac:dyDescent="0.25">
      <c r="C81" t="s">
        <v>179</v>
      </c>
      <c r="F81" s="35">
        <f>SUM(F92:J92)</f>
        <v>0</v>
      </c>
    </row>
    <row r="82" spans="2:10" x14ac:dyDescent="0.25">
      <c r="C82" t="s">
        <v>180</v>
      </c>
      <c r="F82" s="35">
        <f>SUM(F93:J93)</f>
        <v>0</v>
      </c>
    </row>
    <row r="83" spans="2:10" x14ac:dyDescent="0.25">
      <c r="C83" t="s">
        <v>31</v>
      </c>
      <c r="F83" s="35">
        <f>F79+F80+F81+F82</f>
        <v>880</v>
      </c>
    </row>
    <row r="85" spans="2:10" x14ac:dyDescent="0.25">
      <c r="B85" t="s">
        <v>119</v>
      </c>
    </row>
    <row r="86" spans="2:10" x14ac:dyDescent="0.25">
      <c r="C86" t="s">
        <v>53</v>
      </c>
      <c r="F86">
        <f>G86-1</f>
        <v>-4</v>
      </c>
      <c r="G86">
        <f>H86-1</f>
        <v>-3</v>
      </c>
      <c r="H86">
        <f>I86-1</f>
        <v>-2</v>
      </c>
      <c r="I86">
        <f>J86-1</f>
        <v>-1</v>
      </c>
      <c r="J86">
        <v>0</v>
      </c>
    </row>
    <row r="87" spans="2:10" x14ac:dyDescent="0.25">
      <c r="C87" t="s">
        <v>54</v>
      </c>
      <c r="F87" t="b">
        <f>F86=0</f>
        <v>0</v>
      </c>
      <c r="G87" t="b">
        <f>G86=0</f>
        <v>0</v>
      </c>
      <c r="H87" t="b">
        <f>H86=0</f>
        <v>0</v>
      </c>
      <c r="I87" t="b">
        <f>I86=0</f>
        <v>0</v>
      </c>
      <c r="J87" t="b">
        <f>J86=0</f>
        <v>1</v>
      </c>
    </row>
    <row r="88" spans="2:10" x14ac:dyDescent="0.25">
      <c r="C88" t="s">
        <v>181</v>
      </c>
      <c r="F88" t="b">
        <f>F86&lt;1</f>
        <v>1</v>
      </c>
      <c r="G88" t="b">
        <f>G86&lt;1</f>
        <v>1</v>
      </c>
      <c r="H88" t="b">
        <f>H86&lt;1</f>
        <v>1</v>
      </c>
      <c r="I88" t="b">
        <f>I86&lt;1</f>
        <v>1</v>
      </c>
      <c r="J88" t="b">
        <f>J86&lt;1</f>
        <v>1</v>
      </c>
    </row>
    <row r="90" spans="2:10" x14ac:dyDescent="0.25">
      <c r="B90" t="s">
        <v>182</v>
      </c>
    </row>
    <row r="91" spans="2:10" x14ac:dyDescent="0.25">
      <c r="C91" t="s">
        <v>110</v>
      </c>
      <c r="F91" s="35">
        <f>F200</f>
        <v>100</v>
      </c>
      <c r="G91" s="35">
        <f>G200</f>
        <v>130</v>
      </c>
      <c r="H91" s="35">
        <f>H200</f>
        <v>180</v>
      </c>
      <c r="I91" s="35">
        <f>I200</f>
        <v>220</v>
      </c>
      <c r="J91" s="35">
        <f>J200</f>
        <v>250</v>
      </c>
    </row>
    <row r="92" spans="2:10" x14ac:dyDescent="0.25">
      <c r="C92" t="s">
        <v>183</v>
      </c>
      <c r="F92" s="35">
        <f>F116+F149+F186</f>
        <v>0</v>
      </c>
      <c r="G92" s="35">
        <f>G116+G149+G186</f>
        <v>0</v>
      </c>
      <c r="H92" s="35">
        <f>H116+H149+H186</f>
        <v>0</v>
      </c>
      <c r="I92" s="35">
        <f>I116+I149+I186</f>
        <v>0</v>
      </c>
      <c r="J92" s="35">
        <f>J116+J149+J186</f>
        <v>0</v>
      </c>
    </row>
    <row r="93" spans="2:10" x14ac:dyDescent="0.25">
      <c r="C93" t="s">
        <v>184</v>
      </c>
      <c r="F93" s="35">
        <f>F122+F156+F192</f>
        <v>0</v>
      </c>
      <c r="G93" s="35">
        <f>G122+G156+G192</f>
        <v>0</v>
      </c>
      <c r="H93" s="35">
        <f>H122+H156+H192</f>
        <v>0</v>
      </c>
      <c r="I93" s="35">
        <f>I122+I156+I192</f>
        <v>0</v>
      </c>
      <c r="J93" s="35">
        <f>J122+J156+J192</f>
        <v>0</v>
      </c>
    </row>
    <row r="94" spans="2:10" x14ac:dyDescent="0.25">
      <c r="C94" t="s">
        <v>97</v>
      </c>
      <c r="F94" s="35"/>
      <c r="G94" s="35"/>
      <c r="H94" s="35"/>
      <c r="I94" s="35"/>
      <c r="J94" s="35"/>
    </row>
    <row r="95" spans="2:10" ht="15.75" thickBot="1" x14ac:dyDescent="0.3">
      <c r="C95" s="27" t="s">
        <v>185</v>
      </c>
      <c r="D95" s="27"/>
      <c r="E95" s="27"/>
      <c r="F95" s="44">
        <f>SUM(F91:F93)</f>
        <v>100</v>
      </c>
      <c r="G95" s="44">
        <f>G91</f>
        <v>130</v>
      </c>
      <c r="H95" s="44">
        <f>H91</f>
        <v>180</v>
      </c>
      <c r="I95" s="44">
        <f>I91</f>
        <v>220</v>
      </c>
      <c r="J95" s="44">
        <f>J91</f>
        <v>250</v>
      </c>
    </row>
    <row r="96" spans="2:10" ht="15.75" thickTop="1" x14ac:dyDescent="0.25">
      <c r="F96" s="35"/>
      <c r="G96" s="35"/>
      <c r="H96" s="35"/>
      <c r="I96" s="35"/>
      <c r="J96" s="35"/>
    </row>
    <row r="97" spans="1:10" ht="15.75" thickBot="1" x14ac:dyDescent="0.3">
      <c r="B97" t="s">
        <v>186</v>
      </c>
      <c r="F97" s="35"/>
      <c r="G97" s="35"/>
      <c r="H97" s="35"/>
      <c r="I97" s="35"/>
      <c r="J97" s="35"/>
    </row>
    <row r="98" spans="1:10" ht="15.75" thickBot="1" x14ac:dyDescent="0.3">
      <c r="B98">
        <v>1</v>
      </c>
      <c r="C98" s="45">
        <f>MATCH(B98,M55:M57,0)</f>
        <v>1</v>
      </c>
      <c r="D98" t="str">
        <f>INDEX(C55:C57,C98)</f>
        <v>Equity</v>
      </c>
      <c r="F98" s="35"/>
      <c r="G98" s="35"/>
      <c r="H98" s="35"/>
      <c r="I98" s="35"/>
      <c r="J98" s="35"/>
    </row>
    <row r="99" spans="1:10" x14ac:dyDescent="0.25">
      <c r="A99" t="s">
        <v>177</v>
      </c>
      <c r="C99" t="s">
        <v>187</v>
      </c>
      <c r="E99" s="35">
        <f>INDEX(F55:F57,C98)</f>
        <v>50</v>
      </c>
      <c r="F99" s="35">
        <f t="shared" ref="F99:J101" si="0">E99</f>
        <v>50</v>
      </c>
      <c r="G99" s="35">
        <f t="shared" si="0"/>
        <v>50</v>
      </c>
      <c r="H99" s="35">
        <f t="shared" si="0"/>
        <v>50</v>
      </c>
      <c r="I99" s="35">
        <f t="shared" si="0"/>
        <v>50</v>
      </c>
      <c r="J99" s="35">
        <f t="shared" si="0"/>
        <v>50</v>
      </c>
    </row>
    <row r="100" spans="1:10" x14ac:dyDescent="0.25">
      <c r="C100" t="s">
        <v>188</v>
      </c>
      <c r="E100" s="35">
        <f>E126+E127</f>
        <v>0</v>
      </c>
      <c r="F100" s="35">
        <f t="shared" si="0"/>
        <v>0</v>
      </c>
      <c r="G100" s="35">
        <f t="shared" si="0"/>
        <v>0</v>
      </c>
      <c r="H100" s="35">
        <f t="shared" si="0"/>
        <v>0</v>
      </c>
      <c r="I100" s="35">
        <f t="shared" si="0"/>
        <v>0</v>
      </c>
      <c r="J100" s="35">
        <f t="shared" si="0"/>
        <v>0</v>
      </c>
    </row>
    <row r="101" spans="1:10" x14ac:dyDescent="0.25">
      <c r="C101" t="s">
        <v>189</v>
      </c>
      <c r="E101" s="35">
        <f>INDEX(K55:K57,C98)</f>
        <v>50</v>
      </c>
      <c r="F101" s="35">
        <f t="shared" si="0"/>
        <v>50</v>
      </c>
      <c r="G101" s="35">
        <f t="shared" si="0"/>
        <v>50</v>
      </c>
      <c r="H101" s="35">
        <f t="shared" si="0"/>
        <v>50</v>
      </c>
      <c r="I101" s="35">
        <f t="shared" si="0"/>
        <v>50</v>
      </c>
      <c r="J101" s="35">
        <f t="shared" si="0"/>
        <v>50</v>
      </c>
    </row>
    <row r="102" spans="1:10" x14ac:dyDescent="0.25">
      <c r="C102" t="s">
        <v>190</v>
      </c>
      <c r="F102" s="35">
        <f>F107</f>
        <v>0</v>
      </c>
      <c r="G102" s="35">
        <f>G107</f>
        <v>50</v>
      </c>
      <c r="H102" s="35">
        <f>H107</f>
        <v>50</v>
      </c>
      <c r="I102" s="35">
        <f>I107</f>
        <v>50</v>
      </c>
      <c r="J102" s="35">
        <f>J107</f>
        <v>50</v>
      </c>
    </row>
    <row r="103" spans="1:10" x14ac:dyDescent="0.25">
      <c r="C103" t="s">
        <v>191</v>
      </c>
      <c r="F103" s="35">
        <f>E124</f>
        <v>0</v>
      </c>
      <c r="G103" s="35">
        <f>F124</f>
        <v>0</v>
      </c>
      <c r="H103" s="35">
        <f>G124</f>
        <v>0</v>
      </c>
      <c r="I103" s="35">
        <f>H124</f>
        <v>0</v>
      </c>
      <c r="J103" s="35">
        <f>I124</f>
        <v>0</v>
      </c>
    </row>
    <row r="104" spans="1:10" x14ac:dyDescent="0.25">
      <c r="C104" t="s">
        <v>192</v>
      </c>
      <c r="F104" s="35">
        <f>MAX(F101-F102+F103,0)</f>
        <v>50</v>
      </c>
      <c r="G104" s="35">
        <f>MAX(G101-G102+G103,0)</f>
        <v>0</v>
      </c>
      <c r="H104" s="35">
        <f>MAX(H101-H102+H103,0)</f>
        <v>0</v>
      </c>
      <c r="I104" s="35">
        <f>MAX(I101-I102+I103,0)</f>
        <v>0</v>
      </c>
      <c r="J104" s="35">
        <f>MAX(J101-J102+J103,0)</f>
        <v>0</v>
      </c>
    </row>
    <row r="105" spans="1:10" x14ac:dyDescent="0.25">
      <c r="F105" s="35"/>
      <c r="G105" s="35"/>
      <c r="H105" s="35"/>
      <c r="I105" s="35"/>
      <c r="J105" s="35"/>
    </row>
    <row r="106" spans="1:10" x14ac:dyDescent="0.25">
      <c r="B106" t="str">
        <f>D98&amp;" Balance"</f>
        <v>Equity Balance</v>
      </c>
      <c r="F106" s="35"/>
      <c r="G106" s="35"/>
      <c r="H106" s="35"/>
      <c r="I106" s="35"/>
      <c r="J106" s="35"/>
    </row>
    <row r="107" spans="1:10" ht="15.75" thickBot="1" x14ac:dyDescent="0.3">
      <c r="C107" t="s">
        <v>70</v>
      </c>
      <c r="F107" s="35">
        <f>E111</f>
        <v>0</v>
      </c>
      <c r="G107" s="35">
        <f>F111</f>
        <v>50</v>
      </c>
      <c r="H107" s="35">
        <f>G111</f>
        <v>50</v>
      </c>
      <c r="I107" s="35">
        <f>H111</f>
        <v>50</v>
      </c>
      <c r="J107" s="35">
        <f>I111</f>
        <v>50</v>
      </c>
    </row>
    <row r="108" spans="1:10" ht="15.75" thickBot="1" x14ac:dyDescent="0.3">
      <c r="C108" s="29" t="s">
        <v>71</v>
      </c>
      <c r="D108" s="30"/>
      <c r="E108" s="46">
        <f>SUM(F108:J108)</f>
        <v>50</v>
      </c>
      <c r="F108" s="46">
        <f>MIN(F104,F95)</f>
        <v>50</v>
      </c>
      <c r="G108" s="46">
        <f>MIN(G104,G95)</f>
        <v>0</v>
      </c>
      <c r="H108" s="46">
        <f>MIN(H104,H95)</f>
        <v>0</v>
      </c>
      <c r="I108" s="46">
        <f>MIN(I104,I95)</f>
        <v>0</v>
      </c>
      <c r="J108" s="47">
        <f>MIN(J104,J95)</f>
        <v>0</v>
      </c>
    </row>
    <row r="109" spans="1:10" x14ac:dyDescent="0.25">
      <c r="C109" t="s">
        <v>193</v>
      </c>
      <c r="F109" s="35">
        <f>F115</f>
        <v>0</v>
      </c>
      <c r="G109" s="35">
        <f>G115</f>
        <v>0</v>
      </c>
      <c r="H109" s="35">
        <f>H115</f>
        <v>0</v>
      </c>
      <c r="I109" s="35">
        <f>I115</f>
        <v>0</v>
      </c>
      <c r="J109" s="35">
        <f>J115</f>
        <v>0</v>
      </c>
    </row>
    <row r="110" spans="1:10" x14ac:dyDescent="0.25">
      <c r="C110" t="s">
        <v>194</v>
      </c>
      <c r="F110" s="35">
        <f>F121</f>
        <v>0</v>
      </c>
      <c r="G110" s="35">
        <f>G121</f>
        <v>0</v>
      </c>
      <c r="H110" s="35">
        <f>H121</f>
        <v>0</v>
      </c>
      <c r="I110" s="35">
        <f>I121</f>
        <v>0</v>
      </c>
      <c r="J110" s="35">
        <f>J121</f>
        <v>0</v>
      </c>
    </row>
    <row r="111" spans="1:10" x14ac:dyDescent="0.25">
      <c r="C111" t="s">
        <v>72</v>
      </c>
      <c r="F111" s="35">
        <f>F107+F108+F109+F110</f>
        <v>50</v>
      </c>
      <c r="G111" s="35">
        <f>G107+G108+G109+G110</f>
        <v>50</v>
      </c>
      <c r="H111" s="35">
        <f>H107+H108+H109+H110</f>
        <v>50</v>
      </c>
      <c r="I111" s="35">
        <f>I107+I108+I109+I110</f>
        <v>50</v>
      </c>
      <c r="J111" s="35">
        <f>J107+J108+J109+J110</f>
        <v>50</v>
      </c>
    </row>
    <row r="112" spans="1:10" x14ac:dyDescent="0.25">
      <c r="F112" s="35"/>
      <c r="G112" s="35"/>
      <c r="H112" s="35"/>
      <c r="I112" s="35"/>
      <c r="J112" s="35"/>
    </row>
    <row r="113" spans="3:10" x14ac:dyDescent="0.25">
      <c r="C113" t="s">
        <v>79</v>
      </c>
      <c r="E113" s="36">
        <f>INDEX(R55:R57,C98)</f>
        <v>0</v>
      </c>
      <c r="F113" s="36">
        <f>E113</f>
        <v>0</v>
      </c>
      <c r="G113" s="36">
        <f>F113</f>
        <v>0</v>
      </c>
      <c r="H113" s="36">
        <f>G113</f>
        <v>0</v>
      </c>
      <c r="I113" s="36">
        <f>H113</f>
        <v>0</v>
      </c>
      <c r="J113" s="36">
        <f>I113</f>
        <v>0</v>
      </c>
    </row>
    <row r="114" spans="3:10" x14ac:dyDescent="0.25">
      <c r="C114" t="s">
        <v>80</v>
      </c>
      <c r="F114" s="35">
        <f>F113*F107</f>
        <v>0</v>
      </c>
      <c r="G114" s="35">
        <f>G113*G107</f>
        <v>0</v>
      </c>
      <c r="H114" s="35">
        <f>H113*H107</f>
        <v>0</v>
      </c>
      <c r="I114" s="35">
        <f>I113*I107</f>
        <v>0</v>
      </c>
      <c r="J114" s="35">
        <f>J113*J107</f>
        <v>0</v>
      </c>
    </row>
    <row r="115" spans="3:10" x14ac:dyDescent="0.25">
      <c r="C115" t="s">
        <v>81</v>
      </c>
      <c r="E115" t="b">
        <f>INDEX(O55:O57,C98)</f>
        <v>0</v>
      </c>
      <c r="F115" s="35">
        <f>$E115*F114</f>
        <v>0</v>
      </c>
      <c r="G115" s="35">
        <f>$E115*G114</f>
        <v>0</v>
      </c>
      <c r="H115" s="35">
        <f>$E115*H114</f>
        <v>0</v>
      </c>
      <c r="I115" s="35">
        <f>$E115*I114</f>
        <v>0</v>
      </c>
      <c r="J115" s="35">
        <f>$E115*J114</f>
        <v>0</v>
      </c>
    </row>
    <row r="116" spans="3:10" x14ac:dyDescent="0.25">
      <c r="C116" t="s">
        <v>179</v>
      </c>
      <c r="F116" s="35">
        <f>F114-F115</f>
        <v>0</v>
      </c>
      <c r="G116" s="35">
        <f>G114-G115</f>
        <v>0</v>
      </c>
      <c r="H116" s="35">
        <f>H114-H115</f>
        <v>0</v>
      </c>
      <c r="I116" s="35">
        <f>I114-I115</f>
        <v>0</v>
      </c>
      <c r="J116" s="35">
        <f>J114-J115</f>
        <v>0</v>
      </c>
    </row>
    <row r="117" spans="3:10" x14ac:dyDescent="0.25">
      <c r="F117" s="35"/>
      <c r="G117" s="35"/>
      <c r="H117" s="35"/>
      <c r="I117" s="35"/>
      <c r="J117" s="35"/>
    </row>
    <row r="118" spans="3:10" x14ac:dyDescent="0.25">
      <c r="C118" t="s">
        <v>82</v>
      </c>
      <c r="E118" s="36">
        <f>INDEX(L55:L57,C98)</f>
        <v>0</v>
      </c>
      <c r="F118" s="36">
        <f t="shared" ref="F118:J119" si="1">E118</f>
        <v>0</v>
      </c>
      <c r="G118" s="36">
        <f t="shared" si="1"/>
        <v>0</v>
      </c>
      <c r="H118" s="36">
        <f t="shared" si="1"/>
        <v>0</v>
      </c>
      <c r="I118" s="36">
        <f t="shared" si="1"/>
        <v>0</v>
      </c>
      <c r="J118" s="36">
        <f t="shared" si="1"/>
        <v>0</v>
      </c>
    </row>
    <row r="119" spans="3:10" x14ac:dyDescent="0.25">
      <c r="C119" t="s">
        <v>195</v>
      </c>
      <c r="E119" s="35">
        <f>INDEX(K55:K57,C98)</f>
        <v>50</v>
      </c>
      <c r="F119" s="35">
        <f t="shared" si="1"/>
        <v>50</v>
      </c>
      <c r="G119" s="35">
        <f t="shared" si="1"/>
        <v>50</v>
      </c>
      <c r="H119" s="35">
        <f t="shared" si="1"/>
        <v>50</v>
      </c>
      <c r="I119" s="35">
        <f t="shared" si="1"/>
        <v>50</v>
      </c>
      <c r="J119" s="35">
        <f t="shared" si="1"/>
        <v>50</v>
      </c>
    </row>
    <row r="120" spans="3:10" x14ac:dyDescent="0.25">
      <c r="C120" t="s">
        <v>196</v>
      </c>
      <c r="F120" s="35">
        <f>F118*F119</f>
        <v>0</v>
      </c>
      <c r="G120" s="35">
        <f>G118*G119</f>
        <v>0</v>
      </c>
      <c r="H120" s="35">
        <f>H118*H119</f>
        <v>0</v>
      </c>
      <c r="I120" s="35">
        <f>I118*I119</f>
        <v>0</v>
      </c>
      <c r="J120" s="35">
        <f>J118*J119</f>
        <v>0</v>
      </c>
    </row>
    <row r="121" spans="3:10" x14ac:dyDescent="0.25">
      <c r="C121" t="s">
        <v>85</v>
      </c>
      <c r="E121" t="b">
        <f>INDEX(P55:P57,C98)</f>
        <v>0</v>
      </c>
      <c r="F121" s="35">
        <f>$E121*F120</f>
        <v>0</v>
      </c>
      <c r="G121" s="35">
        <f>$E121*G120</f>
        <v>0</v>
      </c>
      <c r="H121" s="35">
        <f>$E121*H120</f>
        <v>0</v>
      </c>
      <c r="I121" s="35">
        <f>$E121*I120</f>
        <v>0</v>
      </c>
      <c r="J121" s="35">
        <f>$E121*J120</f>
        <v>0</v>
      </c>
    </row>
    <row r="122" spans="3:10" x14ac:dyDescent="0.25">
      <c r="C122" t="s">
        <v>180</v>
      </c>
      <c r="F122" s="35">
        <f>F120-F121</f>
        <v>0</v>
      </c>
      <c r="G122" s="35">
        <f>G120-G121</f>
        <v>0</v>
      </c>
      <c r="H122" s="35">
        <f>H120-H121</f>
        <v>0</v>
      </c>
      <c r="I122" s="35">
        <f>I120-I121</f>
        <v>0</v>
      </c>
      <c r="J122" s="35">
        <f>J120-J121</f>
        <v>0</v>
      </c>
    </row>
    <row r="123" spans="3:10" x14ac:dyDescent="0.25">
      <c r="F123" s="35"/>
      <c r="G123" s="35"/>
      <c r="H123" s="35"/>
      <c r="I123" s="35"/>
      <c r="J123" s="35"/>
    </row>
    <row r="124" spans="3:10" x14ac:dyDescent="0.25">
      <c r="C124" t="s">
        <v>197</v>
      </c>
      <c r="F124" s="35">
        <f>E124+F121+F115</f>
        <v>0</v>
      </c>
      <c r="G124" s="35">
        <f>F124+G121+G115</f>
        <v>0</v>
      </c>
      <c r="H124" s="35">
        <f>G124+H121+H115</f>
        <v>0</v>
      </c>
      <c r="I124" s="35">
        <f>H124+I121+I115</f>
        <v>0</v>
      </c>
      <c r="J124" s="35">
        <f>I124+J121+J115</f>
        <v>0</v>
      </c>
    </row>
    <row r="125" spans="3:10" x14ac:dyDescent="0.25">
      <c r="F125" s="35"/>
      <c r="G125" s="35"/>
      <c r="H125" s="35"/>
      <c r="I125" s="35"/>
      <c r="J125" s="35"/>
    </row>
    <row r="126" spans="3:10" x14ac:dyDescent="0.25">
      <c r="C126" t="s">
        <v>198</v>
      </c>
      <c r="E126" s="35">
        <f>SUMPRODUCT(F115:J115*F88:J88)</f>
        <v>0</v>
      </c>
      <c r="F126" s="35"/>
      <c r="G126" s="35"/>
      <c r="H126" s="35"/>
      <c r="I126" s="35"/>
      <c r="J126" s="35"/>
    </row>
    <row r="127" spans="3:10" x14ac:dyDescent="0.25">
      <c r="C127" t="s">
        <v>199</v>
      </c>
      <c r="E127" s="35">
        <f>SUMPRODUCT(F121:J121*F88:J88)</f>
        <v>0</v>
      </c>
      <c r="F127" s="35"/>
      <c r="G127" s="35"/>
      <c r="H127" s="35"/>
      <c r="I127" s="35"/>
      <c r="J127" s="35"/>
    </row>
    <row r="128" spans="3:10" x14ac:dyDescent="0.25">
      <c r="F128" s="35"/>
      <c r="G128" s="35"/>
      <c r="H128" s="35"/>
      <c r="I128" s="35"/>
      <c r="J128" s="35"/>
    </row>
    <row r="129" spans="2:10" ht="15.75" thickBot="1" x14ac:dyDescent="0.3">
      <c r="B129" s="48" t="s">
        <v>200</v>
      </c>
      <c r="C129" s="48"/>
      <c r="D129" s="48"/>
      <c r="E129" s="48"/>
      <c r="F129" s="49">
        <f>F95-F108</f>
        <v>50</v>
      </c>
      <c r="G129" s="49">
        <f>G95-G108</f>
        <v>130</v>
      </c>
      <c r="H129" s="49">
        <f>H95-H108</f>
        <v>180</v>
      </c>
      <c r="I129" s="49">
        <f>I95-I108</f>
        <v>220</v>
      </c>
      <c r="J129" s="49">
        <f>J95-J108</f>
        <v>250</v>
      </c>
    </row>
    <row r="130" spans="2:10" x14ac:dyDescent="0.25">
      <c r="F130" s="35"/>
      <c r="G130" s="35"/>
      <c r="H130" s="35"/>
      <c r="I130" s="35"/>
      <c r="J130" s="35"/>
    </row>
    <row r="131" spans="2:10" x14ac:dyDescent="0.25">
      <c r="B131" t="s">
        <v>201</v>
      </c>
      <c r="F131" s="35"/>
      <c r="G131" s="35"/>
      <c r="H131" s="35"/>
      <c r="I131" s="35"/>
      <c r="J131" s="35"/>
    </row>
    <row r="132" spans="2:10" x14ac:dyDescent="0.25">
      <c r="B132">
        <v>2</v>
      </c>
      <c r="C132">
        <f>MATCH(B132,M55:M57,0)</f>
        <v>3</v>
      </c>
      <c r="D132" t="str">
        <f>INDEX(C55:C57,C132)</f>
        <v>Senior Debt</v>
      </c>
      <c r="F132" s="35"/>
      <c r="G132" s="35"/>
      <c r="H132" s="35"/>
      <c r="I132" s="35"/>
      <c r="J132" s="35"/>
    </row>
    <row r="133" spans="2:10" x14ac:dyDescent="0.25">
      <c r="C133" t="s">
        <v>202</v>
      </c>
      <c r="E133" s="35">
        <f>INDEX(F55:F57,C132)</f>
        <v>600</v>
      </c>
      <c r="F133" s="35">
        <f t="shared" ref="F133:J135" si="2">E133</f>
        <v>600</v>
      </c>
      <c r="G133" s="35">
        <f t="shared" si="2"/>
        <v>600</v>
      </c>
      <c r="H133" s="35">
        <f t="shared" si="2"/>
        <v>600</v>
      </c>
      <c r="I133" s="35">
        <f t="shared" si="2"/>
        <v>600</v>
      </c>
      <c r="J133" s="35">
        <f t="shared" si="2"/>
        <v>600</v>
      </c>
    </row>
    <row r="134" spans="2:10" x14ac:dyDescent="0.25">
      <c r="C134" t="s">
        <v>203</v>
      </c>
      <c r="E134" s="35">
        <v>168.34575000000001</v>
      </c>
      <c r="F134" s="35">
        <f t="shared" si="2"/>
        <v>168.34575000000001</v>
      </c>
      <c r="G134" s="35">
        <f t="shared" si="2"/>
        <v>168.34575000000001</v>
      </c>
      <c r="H134" s="35">
        <f t="shared" si="2"/>
        <v>168.34575000000001</v>
      </c>
      <c r="I134" s="35">
        <f t="shared" si="2"/>
        <v>168.34575000000001</v>
      </c>
      <c r="J134" s="35">
        <f t="shared" si="2"/>
        <v>168.34575000000001</v>
      </c>
    </row>
    <row r="135" spans="2:10" x14ac:dyDescent="0.25">
      <c r="C135" t="s">
        <v>204</v>
      </c>
      <c r="E135" s="35">
        <f>INDEX(K55:K57,C132)</f>
        <v>762.66560000000004</v>
      </c>
      <c r="F135" s="35">
        <f t="shared" si="2"/>
        <v>762.66560000000004</v>
      </c>
      <c r="G135" s="35">
        <f t="shared" si="2"/>
        <v>762.66560000000004</v>
      </c>
      <c r="H135" s="35">
        <f t="shared" si="2"/>
        <v>762.66560000000004</v>
      </c>
      <c r="I135" s="35">
        <f t="shared" si="2"/>
        <v>762.66560000000004</v>
      </c>
      <c r="J135" s="35">
        <f t="shared" si="2"/>
        <v>762.66560000000004</v>
      </c>
    </row>
    <row r="136" spans="2:10" x14ac:dyDescent="0.25">
      <c r="C136" t="s">
        <v>205</v>
      </c>
      <c r="F136" s="35">
        <f>F140</f>
        <v>0</v>
      </c>
      <c r="G136" s="35">
        <f>G140</f>
        <v>56</v>
      </c>
      <c r="H136" s="35">
        <f>H140</f>
        <v>197.6</v>
      </c>
      <c r="I136" s="35">
        <f>I140</f>
        <v>403.36</v>
      </c>
      <c r="J136" s="35">
        <f>J140</f>
        <v>669.69600000000003</v>
      </c>
    </row>
    <row r="137" spans="2:10" x14ac:dyDescent="0.25">
      <c r="C137" t="s">
        <v>191</v>
      </c>
      <c r="F137" s="35">
        <f>E158</f>
        <v>0</v>
      </c>
      <c r="G137" s="35">
        <f>F158</f>
        <v>6</v>
      </c>
      <c r="H137" s="35">
        <f>G158</f>
        <v>17.600000000000001</v>
      </c>
      <c r="I137" s="35">
        <f>H158</f>
        <v>43.36</v>
      </c>
      <c r="J137" s="35">
        <f>I158</f>
        <v>89.695999999999998</v>
      </c>
    </row>
    <row r="138" spans="2:10" x14ac:dyDescent="0.25">
      <c r="C138" t="s">
        <v>129</v>
      </c>
      <c r="F138" s="35">
        <f>MAX(F135-F136+F137,0)</f>
        <v>762.66560000000004</v>
      </c>
      <c r="G138" s="35">
        <f>MAX(G135-G136+G137,0)</f>
        <v>712.66560000000004</v>
      </c>
      <c r="H138" s="35">
        <f>MAX(H135-H136+H137,0)</f>
        <v>582.66560000000004</v>
      </c>
      <c r="I138" s="35">
        <f>MAX(I135-I136+I137,0)</f>
        <v>402.66560000000004</v>
      </c>
      <c r="J138" s="35">
        <f>MAX(J135-J136+J137,0)</f>
        <v>182.66560000000001</v>
      </c>
    </row>
    <row r="139" spans="2:10" x14ac:dyDescent="0.25">
      <c r="F139" s="35"/>
      <c r="G139" s="35"/>
      <c r="H139" s="35"/>
      <c r="I139" s="35"/>
      <c r="J139" s="35"/>
    </row>
    <row r="140" spans="2:10" ht="15.75" thickBot="1" x14ac:dyDescent="0.3">
      <c r="C140" t="s">
        <v>70</v>
      </c>
      <c r="F140" s="35">
        <f>D144</f>
        <v>0</v>
      </c>
      <c r="G140" s="35">
        <f>F144</f>
        <v>56</v>
      </c>
      <c r="H140" s="35">
        <f>G144</f>
        <v>197.6</v>
      </c>
      <c r="I140" s="35">
        <f>H144</f>
        <v>403.36</v>
      </c>
      <c r="J140" s="35">
        <f>I144</f>
        <v>669.69600000000003</v>
      </c>
    </row>
    <row r="141" spans="2:10" ht="15.75" thickBot="1" x14ac:dyDescent="0.3">
      <c r="C141" s="29" t="s">
        <v>206</v>
      </c>
      <c r="D141" s="30"/>
      <c r="E141" s="46">
        <f>SUM(F141:J141)</f>
        <v>762.66560000000004</v>
      </c>
      <c r="F141" s="46">
        <f>MIN(F129,F138)</f>
        <v>50</v>
      </c>
      <c r="G141" s="46">
        <f>MIN(G129,G138)</f>
        <v>130</v>
      </c>
      <c r="H141" s="46">
        <f>MIN(H129,H138)</f>
        <v>180</v>
      </c>
      <c r="I141" s="46">
        <f>MIN(I129,I138)</f>
        <v>220</v>
      </c>
      <c r="J141" s="47">
        <f>MIN(J129,J138)</f>
        <v>182.66560000000001</v>
      </c>
    </row>
    <row r="142" spans="2:10" x14ac:dyDescent="0.25">
      <c r="C142" t="s">
        <v>207</v>
      </c>
      <c r="E142" s="35">
        <f>E141+E162</f>
        <v>792.66560000000004</v>
      </c>
      <c r="F142" s="35">
        <f>F148</f>
        <v>0</v>
      </c>
      <c r="G142" s="35">
        <f>G148</f>
        <v>5.6000000000000005</v>
      </c>
      <c r="H142" s="35">
        <f>H148</f>
        <v>19.760000000000002</v>
      </c>
      <c r="I142" s="35">
        <f>I148</f>
        <v>40.336000000000006</v>
      </c>
      <c r="J142" s="35">
        <f>J148</f>
        <v>66.9696</v>
      </c>
    </row>
    <row r="143" spans="2:10" x14ac:dyDescent="0.25">
      <c r="C143" t="s">
        <v>78</v>
      </c>
      <c r="E143" s="35">
        <f>E142-E133</f>
        <v>192.66560000000004</v>
      </c>
      <c r="F143" s="35">
        <f>F155</f>
        <v>6</v>
      </c>
      <c r="G143" s="35">
        <f>G155</f>
        <v>6</v>
      </c>
      <c r="H143" s="35">
        <f>H155</f>
        <v>6</v>
      </c>
      <c r="I143" s="35">
        <f>I155</f>
        <v>6</v>
      </c>
      <c r="J143" s="35">
        <f>J155</f>
        <v>6</v>
      </c>
    </row>
    <row r="144" spans="2:10" x14ac:dyDescent="0.25">
      <c r="C144" t="s">
        <v>72</v>
      </c>
      <c r="F144" s="35">
        <f>F140+F141+F142+F143</f>
        <v>56</v>
      </c>
      <c r="G144" s="35">
        <f>G140+G141+G142+G143</f>
        <v>197.6</v>
      </c>
      <c r="H144" s="35">
        <f>H140+H141+H142+H143</f>
        <v>403.36</v>
      </c>
      <c r="I144" s="35">
        <f>I140+I141+I142+I143</f>
        <v>669.69600000000003</v>
      </c>
      <c r="J144" s="35">
        <f>J140+J141+J142+J143</f>
        <v>925.33120000000008</v>
      </c>
    </row>
    <row r="146" spans="3:10" x14ac:dyDescent="0.25">
      <c r="C146" t="s">
        <v>79</v>
      </c>
      <c r="F146" s="36">
        <f>R57</f>
        <v>0.1</v>
      </c>
      <c r="G146" s="36">
        <f>F146</f>
        <v>0.1</v>
      </c>
      <c r="H146" s="36">
        <f>G146</f>
        <v>0.1</v>
      </c>
      <c r="I146" s="36">
        <f>H146</f>
        <v>0.1</v>
      </c>
      <c r="J146" s="36">
        <f>I146</f>
        <v>0.1</v>
      </c>
    </row>
    <row r="147" spans="3:10" x14ac:dyDescent="0.25">
      <c r="C147" t="s">
        <v>80</v>
      </c>
      <c r="F147" s="35">
        <f>F146*F140</f>
        <v>0</v>
      </c>
      <c r="G147" s="35">
        <f>G146*G140</f>
        <v>5.6000000000000005</v>
      </c>
      <c r="H147" s="35">
        <f>H146*H140</f>
        <v>19.760000000000002</v>
      </c>
      <c r="I147" s="35">
        <f>I146*I140</f>
        <v>40.336000000000006</v>
      </c>
      <c r="J147" s="35">
        <f>J146*J140</f>
        <v>66.9696</v>
      </c>
    </row>
    <row r="148" spans="3:10" x14ac:dyDescent="0.25">
      <c r="C148" t="s">
        <v>208</v>
      </c>
      <c r="E148" t="b">
        <f>INDEX(O55:O57,C132)</f>
        <v>1</v>
      </c>
      <c r="F148" s="35">
        <f>$E148*F147</f>
        <v>0</v>
      </c>
      <c r="G148" s="35">
        <f>$E148*G147</f>
        <v>5.6000000000000005</v>
      </c>
      <c r="H148" s="35">
        <f>$E148*H147</f>
        <v>19.760000000000002</v>
      </c>
      <c r="I148" s="35">
        <f>$E148*I147</f>
        <v>40.336000000000006</v>
      </c>
      <c r="J148" s="35">
        <f>$E148*J147</f>
        <v>66.9696</v>
      </c>
    </row>
    <row r="149" spans="3:10" x14ac:dyDescent="0.25">
      <c r="C149" t="s">
        <v>179</v>
      </c>
      <c r="F149" s="35">
        <f>F147-F148</f>
        <v>0</v>
      </c>
      <c r="G149" s="35">
        <f>G147-G148</f>
        <v>0</v>
      </c>
      <c r="H149" s="35">
        <f>H147-H148</f>
        <v>0</v>
      </c>
      <c r="I149" s="35">
        <f>I147-I148</f>
        <v>0</v>
      </c>
      <c r="J149" s="35">
        <f>J147-J148</f>
        <v>0</v>
      </c>
    </row>
    <row r="150" spans="3:10" x14ac:dyDescent="0.25">
      <c r="C150" t="s">
        <v>209</v>
      </c>
      <c r="F150" s="35">
        <f>E150+F148</f>
        <v>0</v>
      </c>
      <c r="G150" s="35">
        <f>F150+G148</f>
        <v>5.6000000000000005</v>
      </c>
      <c r="H150" s="35">
        <f>G150+H148</f>
        <v>25.360000000000003</v>
      </c>
      <c r="I150" s="35">
        <f>H150+I148</f>
        <v>65.696000000000012</v>
      </c>
      <c r="J150" s="35">
        <f>I150+J148</f>
        <v>132.66560000000001</v>
      </c>
    </row>
    <row r="151" spans="3:10" x14ac:dyDescent="0.25">
      <c r="F151" s="36"/>
      <c r="G151" s="36"/>
      <c r="H151" s="36"/>
      <c r="I151" s="36"/>
      <c r="J151" s="36"/>
    </row>
    <row r="152" spans="3:10" x14ac:dyDescent="0.25">
      <c r="C152" t="s">
        <v>82</v>
      </c>
      <c r="E152" s="36">
        <f>INDEX(L55:L57,C132)</f>
        <v>0.02</v>
      </c>
      <c r="F152" s="36">
        <f>L56</f>
        <v>0.01</v>
      </c>
      <c r="G152" s="36">
        <f t="shared" ref="G152:J153" si="3">F152</f>
        <v>0.01</v>
      </c>
      <c r="H152" s="36">
        <f t="shared" si="3"/>
        <v>0.01</v>
      </c>
      <c r="I152" s="36">
        <f t="shared" si="3"/>
        <v>0.01</v>
      </c>
      <c r="J152" s="36">
        <f t="shared" si="3"/>
        <v>0.01</v>
      </c>
    </row>
    <row r="153" spans="3:10" x14ac:dyDescent="0.25">
      <c r="C153" t="s">
        <v>83</v>
      </c>
      <c r="E153" s="35">
        <f>E133</f>
        <v>600</v>
      </c>
      <c r="F153" s="35">
        <f>E153</f>
        <v>600</v>
      </c>
      <c r="G153" s="35">
        <f t="shared" si="3"/>
        <v>600</v>
      </c>
      <c r="H153" s="35">
        <f t="shared" si="3"/>
        <v>600</v>
      </c>
      <c r="I153" s="35">
        <f t="shared" si="3"/>
        <v>600</v>
      </c>
      <c r="J153" s="35">
        <f t="shared" si="3"/>
        <v>600</v>
      </c>
    </row>
    <row r="154" spans="3:10" x14ac:dyDescent="0.25">
      <c r="C154" t="s">
        <v>196</v>
      </c>
      <c r="F154" s="35">
        <f>F152*F153</f>
        <v>6</v>
      </c>
      <c r="G154" s="35">
        <f>G152*G153</f>
        <v>6</v>
      </c>
      <c r="H154" s="35">
        <f>H152*H153</f>
        <v>6</v>
      </c>
      <c r="I154" s="35">
        <f>I152*I153</f>
        <v>6</v>
      </c>
      <c r="J154" s="35">
        <f>J152*J153</f>
        <v>6</v>
      </c>
    </row>
    <row r="155" spans="3:10" x14ac:dyDescent="0.25">
      <c r="C155" t="s">
        <v>85</v>
      </c>
      <c r="E155" t="b">
        <f>INDEX(P55:P57,C132)</f>
        <v>1</v>
      </c>
      <c r="F155" s="35">
        <f>$E155*F154</f>
        <v>6</v>
      </c>
      <c r="G155" s="35">
        <f>$E155*G154</f>
        <v>6</v>
      </c>
      <c r="H155" s="35">
        <f>$E155*H154</f>
        <v>6</v>
      </c>
      <c r="I155" s="35">
        <f>$E155*I154</f>
        <v>6</v>
      </c>
      <c r="J155" s="35">
        <f>$E155*J154</f>
        <v>6</v>
      </c>
    </row>
    <row r="156" spans="3:10" x14ac:dyDescent="0.25">
      <c r="C156" t="s">
        <v>180</v>
      </c>
      <c r="F156" s="35">
        <f>F154-F155</f>
        <v>0</v>
      </c>
      <c r="G156" s="35">
        <f>G154-G155</f>
        <v>0</v>
      </c>
      <c r="H156" s="35">
        <f>H154-H155</f>
        <v>0</v>
      </c>
      <c r="I156" s="35">
        <f>I154-I155</f>
        <v>0</v>
      </c>
      <c r="J156" s="35">
        <f>J154-J155</f>
        <v>0</v>
      </c>
    </row>
    <row r="158" spans="3:10" x14ac:dyDescent="0.25">
      <c r="C158" t="s">
        <v>210</v>
      </c>
      <c r="F158" s="35">
        <f>E158+F142+F143</f>
        <v>6</v>
      </c>
      <c r="G158" s="35">
        <f>F158+G142+G143</f>
        <v>17.600000000000001</v>
      </c>
      <c r="H158" s="35">
        <f>G158+H142+H143</f>
        <v>43.36</v>
      </c>
      <c r="I158" s="35">
        <f>H158+I142+I143</f>
        <v>89.695999999999998</v>
      </c>
      <c r="J158" s="35">
        <f>I158+J142+J143</f>
        <v>162.66559999999998</v>
      </c>
    </row>
    <row r="159" spans="3:10" x14ac:dyDescent="0.25">
      <c r="C159" t="s">
        <v>211</v>
      </c>
      <c r="F159" s="35">
        <f>E159+F154</f>
        <v>6</v>
      </c>
      <c r="G159" s="35">
        <f>F159+G154</f>
        <v>12</v>
      </c>
      <c r="H159" s="35">
        <f>G159+H154</f>
        <v>18</v>
      </c>
      <c r="I159" s="35">
        <f>H159+I154</f>
        <v>24</v>
      </c>
      <c r="J159" s="35">
        <f>I159+J154</f>
        <v>30</v>
      </c>
    </row>
    <row r="160" spans="3:10" x14ac:dyDescent="0.25">
      <c r="F160" s="35"/>
      <c r="G160" s="35"/>
      <c r="H160" s="35"/>
      <c r="I160" s="35"/>
      <c r="J160" s="35"/>
    </row>
    <row r="161" spans="2:10" x14ac:dyDescent="0.25">
      <c r="C161" t="s">
        <v>212</v>
      </c>
      <c r="E161" s="35">
        <f>SUMPRODUCT(F148:J148*F88:J88)</f>
        <v>132.66560000000001</v>
      </c>
      <c r="G161" s="35"/>
      <c r="H161" s="35"/>
      <c r="I161" s="35"/>
      <c r="J161" s="35"/>
    </row>
    <row r="162" spans="2:10" x14ac:dyDescent="0.25">
      <c r="C162" t="s">
        <v>213</v>
      </c>
      <c r="E162" s="35">
        <f>SUMPRODUCT(F154:J154*F88:J88)</f>
        <v>30</v>
      </c>
      <c r="G162" s="35"/>
      <c r="H162" s="35"/>
      <c r="I162" s="35"/>
      <c r="J162" s="35"/>
    </row>
    <row r="163" spans="2:10" x14ac:dyDescent="0.25">
      <c r="C163" t="s">
        <v>86</v>
      </c>
      <c r="E163" s="35">
        <f>SUM(E161:E162)</f>
        <v>162.66560000000001</v>
      </c>
      <c r="G163" s="35"/>
      <c r="H163" s="35"/>
      <c r="I163" s="35"/>
      <c r="J163" s="35"/>
    </row>
    <row r="165" spans="2:10" ht="15.75" thickBot="1" x14ac:dyDescent="0.3">
      <c r="B165" s="48" t="s">
        <v>214</v>
      </c>
      <c r="C165" s="48"/>
      <c r="D165" s="48"/>
      <c r="E165" s="48"/>
      <c r="F165" s="49">
        <f>F129-F141</f>
        <v>0</v>
      </c>
      <c r="G165" s="49">
        <f>G129-G141</f>
        <v>0</v>
      </c>
      <c r="H165" s="49">
        <f>H129-H141</f>
        <v>0</v>
      </c>
      <c r="I165" s="49">
        <f>I129-I141</f>
        <v>0</v>
      </c>
      <c r="J165" s="49">
        <f>J129-J141</f>
        <v>67.334399999999988</v>
      </c>
    </row>
    <row r="167" spans="2:10" x14ac:dyDescent="0.25">
      <c r="B167" t="s">
        <v>215</v>
      </c>
    </row>
    <row r="168" spans="2:10" x14ac:dyDescent="0.25">
      <c r="B168">
        <v>3</v>
      </c>
      <c r="C168">
        <f>MATCH(B168,M55:M57,0)</f>
        <v>2</v>
      </c>
      <c r="D168" t="str">
        <f>INDEX(C55:C57,C168)</f>
        <v>Sub Debt</v>
      </c>
    </row>
    <row r="169" spans="2:10" x14ac:dyDescent="0.25">
      <c r="C169" t="s">
        <v>187</v>
      </c>
      <c r="E169" s="35">
        <f>INDEX(F55:F57,C168)</f>
        <v>67.33439999999996</v>
      </c>
      <c r="F169" s="35">
        <f t="shared" ref="F169:J171" si="4">E169</f>
        <v>67.33439999999996</v>
      </c>
      <c r="G169" s="35">
        <f t="shared" si="4"/>
        <v>67.33439999999996</v>
      </c>
      <c r="H169" s="35">
        <f t="shared" si="4"/>
        <v>67.33439999999996</v>
      </c>
      <c r="I169" s="35">
        <f t="shared" si="4"/>
        <v>67.33439999999996</v>
      </c>
      <c r="J169" s="35">
        <f t="shared" si="4"/>
        <v>67.33439999999996</v>
      </c>
    </row>
    <row r="170" spans="2:10" x14ac:dyDescent="0.25">
      <c r="C170" t="s">
        <v>188</v>
      </c>
      <c r="E170" s="35">
        <f>E196+E197</f>
        <v>3.7206506483999982</v>
      </c>
      <c r="F170" s="35">
        <f t="shared" si="4"/>
        <v>3.7206506483999982</v>
      </c>
      <c r="G170" s="35">
        <f t="shared" si="4"/>
        <v>3.7206506483999982</v>
      </c>
      <c r="H170" s="35">
        <f t="shared" si="4"/>
        <v>3.7206506483999982</v>
      </c>
      <c r="I170" s="35">
        <f t="shared" si="4"/>
        <v>3.7206506483999982</v>
      </c>
      <c r="J170" s="35">
        <f t="shared" si="4"/>
        <v>3.7206506483999982</v>
      </c>
    </row>
    <row r="171" spans="2:10" x14ac:dyDescent="0.25">
      <c r="C171" t="s">
        <v>189</v>
      </c>
      <c r="E171" s="35">
        <f>INDEX(K55:K57,C168)</f>
        <v>67.33439999999996</v>
      </c>
      <c r="F171" s="35">
        <f t="shared" si="4"/>
        <v>67.33439999999996</v>
      </c>
      <c r="G171" s="35">
        <f t="shared" si="4"/>
        <v>67.33439999999996</v>
      </c>
      <c r="H171" s="35">
        <f t="shared" si="4"/>
        <v>67.33439999999996</v>
      </c>
      <c r="I171" s="35">
        <f t="shared" si="4"/>
        <v>67.33439999999996</v>
      </c>
      <c r="J171" s="35">
        <f t="shared" si="4"/>
        <v>67.33439999999996</v>
      </c>
    </row>
    <row r="172" spans="2:10" x14ac:dyDescent="0.25">
      <c r="C172" t="s">
        <v>190</v>
      </c>
      <c r="F172" s="35">
        <f>F177</f>
        <v>0</v>
      </c>
      <c r="G172" s="35">
        <f>G177</f>
        <v>0.67334399999999961</v>
      </c>
      <c r="H172" s="35">
        <f>H177</f>
        <v>1.3803551999999992</v>
      </c>
      <c r="I172" s="35">
        <f>I177</f>
        <v>2.1227169599999987</v>
      </c>
      <c r="J172" s="35">
        <f>J177</f>
        <v>2.9021968079999985</v>
      </c>
    </row>
    <row r="173" spans="2:10" x14ac:dyDescent="0.25">
      <c r="C173" t="s">
        <v>191</v>
      </c>
      <c r="F173" s="35">
        <f>E194</f>
        <v>0</v>
      </c>
      <c r="G173" s="35">
        <f>F194</f>
        <v>0.67334399999999961</v>
      </c>
      <c r="H173" s="35">
        <f>G194</f>
        <v>1.3803551999999992</v>
      </c>
      <c r="I173" s="35">
        <f>H194</f>
        <v>2.1227169599999987</v>
      </c>
      <c r="J173" s="35">
        <f>I194</f>
        <v>2.9021968079999985</v>
      </c>
    </row>
    <row r="174" spans="2:10" x14ac:dyDescent="0.25">
      <c r="C174" t="s">
        <v>192</v>
      </c>
      <c r="F174" s="35">
        <f>MAX(F171-F172+F173,0)</f>
        <v>67.33439999999996</v>
      </c>
      <c r="G174" s="35">
        <f>MAX(G171-G172+G173,0)</f>
        <v>67.33439999999996</v>
      </c>
      <c r="H174" s="35">
        <f>MAX(H171-H172+H173,0)</f>
        <v>67.33439999999996</v>
      </c>
      <c r="I174" s="35">
        <f>MAX(I171-I172+I173,0)</f>
        <v>67.33439999999996</v>
      </c>
      <c r="J174" s="35">
        <f>MAX(J171-J172+J173,0)</f>
        <v>67.33439999999996</v>
      </c>
    </row>
    <row r="175" spans="2:10" x14ac:dyDescent="0.25">
      <c r="F175" s="35"/>
      <c r="G175" s="35"/>
      <c r="H175" s="35"/>
      <c r="I175" s="35"/>
      <c r="J175" s="35"/>
    </row>
    <row r="176" spans="2:10" x14ac:dyDescent="0.25">
      <c r="B176" t="str">
        <f>D168&amp;" Balance"</f>
        <v>Sub Debt Balance</v>
      </c>
      <c r="F176" s="35"/>
      <c r="G176" s="35"/>
      <c r="H176" s="35"/>
      <c r="I176" s="35"/>
      <c r="J176" s="35"/>
    </row>
    <row r="177" spans="3:14" ht="15.75" thickBot="1" x14ac:dyDescent="0.3">
      <c r="C177" t="s">
        <v>70</v>
      </c>
      <c r="F177" s="35">
        <f>E181</f>
        <v>0</v>
      </c>
      <c r="G177" s="35">
        <f>F181</f>
        <v>0.67334399999999961</v>
      </c>
      <c r="H177" s="35">
        <f>G181</f>
        <v>1.3803551999999992</v>
      </c>
      <c r="I177" s="35">
        <f>H181</f>
        <v>2.1227169599999987</v>
      </c>
      <c r="J177" s="35">
        <f>I181</f>
        <v>2.9021968079999985</v>
      </c>
    </row>
    <row r="178" spans="3:14" ht="15.75" thickBot="1" x14ac:dyDescent="0.3">
      <c r="C178" s="29" t="s">
        <v>71</v>
      </c>
      <c r="D178" s="30"/>
      <c r="E178" s="46">
        <f>SUM(F178:J178)</f>
        <v>67.33439999999996</v>
      </c>
      <c r="F178" s="46">
        <f>MIN(F174,F165)</f>
        <v>0</v>
      </c>
      <c r="G178" s="46">
        <f>MIN(G174,G165)</f>
        <v>0</v>
      </c>
      <c r="H178" s="46">
        <f>MIN(H174,H165)</f>
        <v>0</v>
      </c>
      <c r="I178" s="46">
        <f>MIN(I174,I165)</f>
        <v>0</v>
      </c>
      <c r="J178" s="47">
        <f>MIN(J174,J165)</f>
        <v>67.33439999999996</v>
      </c>
    </row>
    <row r="179" spans="3:14" x14ac:dyDescent="0.25">
      <c r="C179" t="s">
        <v>193</v>
      </c>
      <c r="F179" s="35">
        <f>F185</f>
        <v>0</v>
      </c>
      <c r="G179" s="35">
        <f>G185</f>
        <v>3.366719999999998E-2</v>
      </c>
      <c r="H179" s="35">
        <f>H185</f>
        <v>6.901775999999997E-2</v>
      </c>
      <c r="I179" s="35">
        <f>I185</f>
        <v>0.10613584799999994</v>
      </c>
      <c r="J179" s="35">
        <f>J185</f>
        <v>0.14510984039999994</v>
      </c>
      <c r="N179" t="s">
        <v>216</v>
      </c>
    </row>
    <row r="180" spans="3:14" x14ac:dyDescent="0.25">
      <c r="C180" t="s">
        <v>194</v>
      </c>
      <c r="F180" s="35">
        <f>F191</f>
        <v>0.67334399999999961</v>
      </c>
      <c r="G180" s="35">
        <f>G191</f>
        <v>0.67334399999999961</v>
      </c>
      <c r="H180" s="35">
        <f>H191</f>
        <v>0.67334399999999961</v>
      </c>
      <c r="I180" s="35">
        <f>I191</f>
        <v>0.67334399999999961</v>
      </c>
      <c r="J180" s="35">
        <f>J191</f>
        <v>0.67334399999999961</v>
      </c>
      <c r="N180" t="s">
        <v>217</v>
      </c>
    </row>
    <row r="181" spans="3:14" x14ac:dyDescent="0.25">
      <c r="C181" t="s">
        <v>72</v>
      </c>
      <c r="F181" s="35">
        <f>F177+F178+F179+F180</f>
        <v>0.67334399999999961</v>
      </c>
      <c r="G181" s="35">
        <f>G177+G178+G179+G180</f>
        <v>1.3803551999999992</v>
      </c>
      <c r="H181" s="35">
        <f>H177+H178+H179+H180</f>
        <v>2.1227169599999987</v>
      </c>
      <c r="I181" s="35">
        <f>I177+I178+I179+I180</f>
        <v>2.9021968079999985</v>
      </c>
      <c r="J181" s="35">
        <f>J177+J178+J179+J180</f>
        <v>71.055050648399956</v>
      </c>
      <c r="N181" t="s">
        <v>218</v>
      </c>
    </row>
    <row r="182" spans="3:14" x14ac:dyDescent="0.25">
      <c r="F182" s="35"/>
      <c r="G182" s="35"/>
      <c r="H182" s="35"/>
      <c r="I182" s="35"/>
      <c r="J182" s="35"/>
      <c r="N182" t="s">
        <v>218</v>
      </c>
    </row>
    <row r="183" spans="3:14" x14ac:dyDescent="0.25">
      <c r="C183" t="s">
        <v>79</v>
      </c>
      <c r="E183" s="36">
        <f>INDEX(R55:R57,C168)</f>
        <v>0.05</v>
      </c>
      <c r="F183" s="36">
        <f>E183</f>
        <v>0.05</v>
      </c>
      <c r="G183" s="36">
        <f>F183</f>
        <v>0.05</v>
      </c>
      <c r="H183" s="36">
        <f>G183</f>
        <v>0.05</v>
      </c>
      <c r="I183" s="36">
        <f>H183</f>
        <v>0.05</v>
      </c>
      <c r="J183" s="36">
        <f>I183</f>
        <v>0.05</v>
      </c>
      <c r="N183" t="s">
        <v>219</v>
      </c>
    </row>
    <row r="184" spans="3:14" x14ac:dyDescent="0.25">
      <c r="C184" t="s">
        <v>80</v>
      </c>
      <c r="F184" s="35">
        <f>F183*F177</f>
        <v>0</v>
      </c>
      <c r="G184" s="35">
        <f>G183*G177</f>
        <v>3.366719999999998E-2</v>
      </c>
      <c r="H184" s="35">
        <f>H183*H177</f>
        <v>6.901775999999997E-2</v>
      </c>
      <c r="I184" s="35">
        <f>I183*I177</f>
        <v>0.10613584799999994</v>
      </c>
      <c r="J184" s="35">
        <f>J183*J177</f>
        <v>0.14510984039999994</v>
      </c>
      <c r="N184" t="s">
        <v>220</v>
      </c>
    </row>
    <row r="185" spans="3:14" x14ac:dyDescent="0.25">
      <c r="C185" t="s">
        <v>81</v>
      </c>
      <c r="E185" t="b">
        <f>INDEX(O55:O57,C168)</f>
        <v>1</v>
      </c>
      <c r="F185" s="35">
        <f>$E185*F184</f>
        <v>0</v>
      </c>
      <c r="G185" s="35">
        <f>$E185*G184</f>
        <v>3.366719999999998E-2</v>
      </c>
      <c r="H185" s="35">
        <f>$E185*H184</f>
        <v>6.901775999999997E-2</v>
      </c>
      <c r="I185" s="35">
        <f>$E185*I184</f>
        <v>0.10613584799999994</v>
      </c>
      <c r="J185" s="35">
        <f>$E185*J184</f>
        <v>0.14510984039999994</v>
      </c>
      <c r="N185" t="s">
        <v>221</v>
      </c>
    </row>
    <row r="186" spans="3:14" x14ac:dyDescent="0.25">
      <c r="C186" t="s">
        <v>179</v>
      </c>
      <c r="F186" s="35">
        <f>F184-F185</f>
        <v>0</v>
      </c>
      <c r="G186" s="35">
        <f>G184-G185</f>
        <v>0</v>
      </c>
      <c r="H186" s="35">
        <f>H184-H185</f>
        <v>0</v>
      </c>
      <c r="I186" s="35">
        <f>I184-I185</f>
        <v>0</v>
      </c>
      <c r="J186" s="35">
        <f>J184-J185</f>
        <v>0</v>
      </c>
    </row>
    <row r="187" spans="3:14" x14ac:dyDescent="0.25">
      <c r="F187" s="35"/>
      <c r="G187" s="35"/>
      <c r="H187" s="35"/>
      <c r="I187" s="35"/>
      <c r="J187" s="35"/>
    </row>
    <row r="188" spans="3:14" x14ac:dyDescent="0.25">
      <c r="C188" t="s">
        <v>82</v>
      </c>
      <c r="E188" s="36">
        <f>INDEX(L55:L57,C168)</f>
        <v>0.01</v>
      </c>
      <c r="F188" s="36">
        <f t="shared" ref="F188:J189" si="5">E188</f>
        <v>0.01</v>
      </c>
      <c r="G188" s="36">
        <f t="shared" si="5"/>
        <v>0.01</v>
      </c>
      <c r="H188" s="36">
        <f t="shared" si="5"/>
        <v>0.01</v>
      </c>
      <c r="I188" s="36">
        <f t="shared" si="5"/>
        <v>0.01</v>
      </c>
      <c r="J188" s="36">
        <f t="shared" si="5"/>
        <v>0.01</v>
      </c>
    </row>
    <row r="189" spans="3:14" x14ac:dyDescent="0.25">
      <c r="C189" t="s">
        <v>195</v>
      </c>
      <c r="E189" s="35">
        <f>E169</f>
        <v>67.33439999999996</v>
      </c>
      <c r="F189" s="35">
        <f t="shared" si="5"/>
        <v>67.33439999999996</v>
      </c>
      <c r="G189" s="35">
        <f t="shared" si="5"/>
        <v>67.33439999999996</v>
      </c>
      <c r="H189" s="35">
        <f t="shared" si="5"/>
        <v>67.33439999999996</v>
      </c>
      <c r="I189" s="35">
        <f t="shared" si="5"/>
        <v>67.33439999999996</v>
      </c>
      <c r="J189" s="35">
        <f t="shared" si="5"/>
        <v>67.33439999999996</v>
      </c>
    </row>
    <row r="190" spans="3:14" x14ac:dyDescent="0.25">
      <c r="C190" t="s">
        <v>196</v>
      </c>
      <c r="F190" s="35">
        <f>F188*F189</f>
        <v>0.67334399999999961</v>
      </c>
      <c r="G190" s="35">
        <f>G188*G189</f>
        <v>0.67334399999999961</v>
      </c>
      <c r="H190" s="35">
        <f>H188*H189</f>
        <v>0.67334399999999961</v>
      </c>
      <c r="I190" s="35">
        <f>I188*I189</f>
        <v>0.67334399999999961</v>
      </c>
      <c r="J190" s="35">
        <f>J188*J189</f>
        <v>0.67334399999999961</v>
      </c>
    </row>
    <row r="191" spans="3:14" x14ac:dyDescent="0.25">
      <c r="C191" t="s">
        <v>85</v>
      </c>
      <c r="E191" t="b">
        <f>INDEX(P55:P57,C168)</f>
        <v>1</v>
      </c>
      <c r="F191" s="35">
        <f>$E191*F190</f>
        <v>0.67334399999999961</v>
      </c>
      <c r="G191" s="35">
        <f>$E191*G190</f>
        <v>0.67334399999999961</v>
      </c>
      <c r="H191" s="35">
        <f>$E191*H190</f>
        <v>0.67334399999999961</v>
      </c>
      <c r="I191" s="35">
        <f>$E191*I190</f>
        <v>0.67334399999999961</v>
      </c>
      <c r="J191" s="35">
        <f>$E191*J190</f>
        <v>0.67334399999999961</v>
      </c>
    </row>
    <row r="192" spans="3:14" x14ac:dyDescent="0.25">
      <c r="C192" t="s">
        <v>180</v>
      </c>
      <c r="F192" s="35">
        <f>F190-F191</f>
        <v>0</v>
      </c>
      <c r="G192" s="35">
        <f>G190-G191</f>
        <v>0</v>
      </c>
      <c r="H192" s="35">
        <f>H190-H191</f>
        <v>0</v>
      </c>
      <c r="I192" s="35">
        <f>I190-I191</f>
        <v>0</v>
      </c>
      <c r="J192" s="35">
        <f>J190-J191</f>
        <v>0</v>
      </c>
    </row>
    <row r="193" spans="2:10" x14ac:dyDescent="0.25">
      <c r="F193" s="35"/>
      <c r="G193" s="35"/>
      <c r="H193" s="35"/>
      <c r="I193" s="35"/>
      <c r="J193" s="35"/>
    </row>
    <row r="194" spans="2:10" x14ac:dyDescent="0.25">
      <c r="C194" t="s">
        <v>197</v>
      </c>
      <c r="F194" s="35">
        <f>E194+F191+F185</f>
        <v>0.67334399999999961</v>
      </c>
      <c r="G194" s="35">
        <f>F194+G191+G185</f>
        <v>1.3803551999999992</v>
      </c>
      <c r="H194" s="35">
        <f>G194+H191+H185</f>
        <v>2.1227169599999987</v>
      </c>
      <c r="I194" s="35">
        <f>H194+I191+I185</f>
        <v>2.9021968079999985</v>
      </c>
      <c r="J194" s="35">
        <f>I194+J191+J185</f>
        <v>3.7206506483999982</v>
      </c>
    </row>
    <row r="195" spans="2:10" x14ac:dyDescent="0.25">
      <c r="F195" s="35"/>
      <c r="G195" s="35"/>
      <c r="H195" s="35"/>
      <c r="I195" s="35"/>
      <c r="J195" s="35"/>
    </row>
    <row r="196" spans="2:10" x14ac:dyDescent="0.25">
      <c r="C196" t="s">
        <v>198</v>
      </c>
      <c r="E196" s="35">
        <f>SUMPRODUCT(F185:J185*F88:J88)</f>
        <v>0.35393064839999983</v>
      </c>
      <c r="F196" s="35"/>
      <c r="G196" s="35"/>
      <c r="H196" s="35"/>
      <c r="I196" s="35"/>
      <c r="J196" s="35"/>
    </row>
    <row r="197" spans="2:10" x14ac:dyDescent="0.25">
      <c r="C197" t="s">
        <v>199</v>
      </c>
      <c r="E197" s="35">
        <f>SUMPRODUCT(F191:J191*F88:J88)</f>
        <v>3.3667199999999982</v>
      </c>
      <c r="F197" s="35"/>
      <c r="G197" s="35"/>
      <c r="H197" s="35"/>
      <c r="I197" s="35"/>
      <c r="J197" s="35"/>
    </row>
    <row r="199" spans="2:10" x14ac:dyDescent="0.25">
      <c r="B199" t="s">
        <v>222</v>
      </c>
    </row>
    <row r="200" spans="2:10" x14ac:dyDescent="0.25">
      <c r="C200" t="s">
        <v>110</v>
      </c>
      <c r="F200">
        <f>F16</f>
        <v>100</v>
      </c>
      <c r="G200">
        <f>G16</f>
        <v>130</v>
      </c>
      <c r="H200">
        <f>H16</f>
        <v>180</v>
      </c>
      <c r="I200">
        <f>I16</f>
        <v>220</v>
      </c>
      <c r="J200">
        <f>J16</f>
        <v>250</v>
      </c>
    </row>
    <row r="201" spans="2:10" x14ac:dyDescent="0.25">
      <c r="C201" t="s">
        <v>111</v>
      </c>
      <c r="F201" s="35">
        <f>F114+F147+F184</f>
        <v>0</v>
      </c>
      <c r="G201" s="35">
        <f>G114+G147+G184</f>
        <v>5.6336672000000005</v>
      </c>
      <c r="H201" s="35">
        <f>H114+H147+H184</f>
        <v>19.829017760000003</v>
      </c>
      <c r="I201" s="35">
        <f>I114+I147+I184</f>
        <v>40.442135848000007</v>
      </c>
      <c r="J201" s="35">
        <f>J114+J147+J184</f>
        <v>67.114709840399996</v>
      </c>
    </row>
    <row r="202" spans="2:10" x14ac:dyDescent="0.25">
      <c r="C202" t="s">
        <v>223</v>
      </c>
      <c r="F202" s="35">
        <f>F120+F154+F190</f>
        <v>6.6733439999999993</v>
      </c>
      <c r="G202" s="35">
        <f>G120+G154+G190</f>
        <v>6.6733439999999993</v>
      </c>
      <c r="H202" s="35">
        <f>H120+H154+H190</f>
        <v>6.6733439999999993</v>
      </c>
      <c r="I202" s="35">
        <f>I120+I154+I190</f>
        <v>6.6733439999999993</v>
      </c>
      <c r="J202" s="35">
        <f>J120+J154+J190</f>
        <v>6.6733439999999993</v>
      </c>
    </row>
    <row r="203" spans="2:10" x14ac:dyDescent="0.25">
      <c r="C203" t="s">
        <v>224</v>
      </c>
    </row>
    <row r="204" spans="2:10" ht="15.75" thickBot="1" x14ac:dyDescent="0.3">
      <c r="D204" s="48" t="s">
        <v>31</v>
      </c>
      <c r="E204" s="48"/>
      <c r="F204" s="49">
        <f>SUM(F200:F203)</f>
        <v>106.673344</v>
      </c>
      <c r="G204" s="49">
        <f>SUM(G200:G203)</f>
        <v>142.30701119999998</v>
      </c>
      <c r="H204" s="49">
        <f>SUM(H200:H203)</f>
        <v>206.50236175999999</v>
      </c>
      <c r="I204" s="49">
        <f>SUM(I200:I203)</f>
        <v>267.11547984800001</v>
      </c>
      <c r="J204" s="49">
        <f>SUM(J200:J203)</f>
        <v>323.78805384039998</v>
      </c>
    </row>
    <row r="206" spans="2:10" x14ac:dyDescent="0.25">
      <c r="B206" t="s">
        <v>225</v>
      </c>
    </row>
    <row r="207" spans="2:10" x14ac:dyDescent="0.25">
      <c r="C207" t="str">
        <f>D98</f>
        <v>Equity</v>
      </c>
      <c r="F207" s="35">
        <f>F108</f>
        <v>50</v>
      </c>
      <c r="G207" s="35">
        <f>G108</f>
        <v>0</v>
      </c>
      <c r="H207" s="35">
        <f>H108</f>
        <v>0</v>
      </c>
      <c r="I207" s="35">
        <f>I108</f>
        <v>0</v>
      </c>
      <c r="J207" s="35">
        <f>J108</f>
        <v>0</v>
      </c>
    </row>
    <row r="208" spans="2:10" x14ac:dyDescent="0.25">
      <c r="C208" t="str">
        <f>D132</f>
        <v>Senior Debt</v>
      </c>
      <c r="F208" s="35">
        <f>F141</f>
        <v>50</v>
      </c>
      <c r="G208" s="35">
        <f>G141</f>
        <v>130</v>
      </c>
      <c r="H208" s="35">
        <f>H141</f>
        <v>180</v>
      </c>
      <c r="I208" s="35">
        <f>I141</f>
        <v>220</v>
      </c>
      <c r="J208" s="35">
        <f>J141</f>
        <v>182.66560000000001</v>
      </c>
    </row>
    <row r="209" spans="1:17" x14ac:dyDescent="0.25">
      <c r="C209" t="str">
        <f>D168</f>
        <v>Sub Debt</v>
      </c>
      <c r="F209" s="35">
        <f>F178</f>
        <v>0</v>
      </c>
      <c r="G209" s="35">
        <f>G178</f>
        <v>0</v>
      </c>
      <c r="H209" s="35">
        <f>H178</f>
        <v>0</v>
      </c>
      <c r="I209" s="35">
        <f>I178</f>
        <v>0</v>
      </c>
      <c r="J209" s="35">
        <f>J178</f>
        <v>67.33439999999996</v>
      </c>
    </row>
    <row r="210" spans="1:17" x14ac:dyDescent="0.25">
      <c r="C210" t="str">
        <f>C207&amp;" Capitalised Interest and Fees"</f>
        <v>Equity Capitalised Interest and Fees</v>
      </c>
      <c r="F210" s="35">
        <f>F115+F121</f>
        <v>0</v>
      </c>
      <c r="G210" s="35">
        <f>G115+G121</f>
        <v>0</v>
      </c>
      <c r="H210" s="35">
        <f>H115+H121</f>
        <v>0</v>
      </c>
      <c r="I210" s="35">
        <f>I115+I121</f>
        <v>0</v>
      </c>
      <c r="J210" s="35">
        <f>J115+J121</f>
        <v>0</v>
      </c>
    </row>
    <row r="211" spans="1:17" x14ac:dyDescent="0.25">
      <c r="C211" t="str">
        <f>C208&amp;" Capitalised Interest and Fees"</f>
        <v>Senior Debt Capitalised Interest and Fees</v>
      </c>
      <c r="F211" s="35">
        <f>F148+F155</f>
        <v>6</v>
      </c>
      <c r="G211" s="35">
        <f>G148+G155</f>
        <v>11.600000000000001</v>
      </c>
      <c r="H211" s="35">
        <f>H148+H155</f>
        <v>25.76</v>
      </c>
      <c r="I211" s="35">
        <f>I148+I155</f>
        <v>46.336000000000006</v>
      </c>
      <c r="J211" s="35">
        <f>J148+J155</f>
        <v>72.9696</v>
      </c>
    </row>
    <row r="212" spans="1:17" x14ac:dyDescent="0.25">
      <c r="C212" t="str">
        <f>C209&amp;" Capitalised Interest and Fees"</f>
        <v>Sub Debt Capitalised Interest and Fees</v>
      </c>
      <c r="F212" s="35">
        <f>F185+F191</f>
        <v>0.67334399999999961</v>
      </c>
      <c r="G212" s="35">
        <f>G185+G191</f>
        <v>0.70701119999999962</v>
      </c>
      <c r="H212" s="35">
        <f>H185+H191</f>
        <v>0.74236175999999954</v>
      </c>
      <c r="I212" s="35">
        <f>I185+I191</f>
        <v>0.77947984799999959</v>
      </c>
      <c r="J212" s="35">
        <f>J185+J191</f>
        <v>0.81845384039999958</v>
      </c>
    </row>
    <row r="213" spans="1:17" ht="15.75" thickBot="1" x14ac:dyDescent="0.3">
      <c r="D213" s="48" t="s">
        <v>31</v>
      </c>
      <c r="E213" s="48"/>
      <c r="F213" s="49">
        <f>SUM(F207:F212)</f>
        <v>106.673344</v>
      </c>
      <c r="G213" s="49">
        <f>SUM(G207:G212)</f>
        <v>142.30701120000001</v>
      </c>
      <c r="H213" s="49">
        <f>SUM(H207:H212)</f>
        <v>206.50236175999999</v>
      </c>
      <c r="I213" s="49">
        <f>SUM(I207:I212)</f>
        <v>267.11547984800001</v>
      </c>
      <c r="J213" s="49">
        <f>SUM(J207:J212)</f>
        <v>323.78805384039998</v>
      </c>
    </row>
    <row r="216" spans="1:17" s="32" customFormat="1" x14ac:dyDescent="0.25"/>
    <row r="217" spans="1:17" x14ac:dyDescent="0.25">
      <c r="A217" t="s">
        <v>226</v>
      </c>
    </row>
    <row r="218" spans="1:17" x14ac:dyDescent="0.25">
      <c r="E218" s="33" t="s">
        <v>135</v>
      </c>
      <c r="F218" s="33"/>
      <c r="G218" s="33" t="s">
        <v>138</v>
      </c>
      <c r="H218" s="33"/>
      <c r="I218" s="33"/>
      <c r="J218" s="33" t="s">
        <v>19</v>
      </c>
      <c r="K218" s="33" t="s">
        <v>139</v>
      </c>
      <c r="L218" s="33" t="s">
        <v>140</v>
      </c>
      <c r="M218" s="33" t="s">
        <v>141</v>
      </c>
      <c r="N218" s="33" t="s">
        <v>141</v>
      </c>
      <c r="O218" s="33" t="s">
        <v>142</v>
      </c>
      <c r="P218" s="33"/>
      <c r="Q218" s="33"/>
    </row>
    <row r="219" spans="1:17" x14ac:dyDescent="0.25">
      <c r="E219" s="33" t="s">
        <v>27</v>
      </c>
      <c r="F219" s="33" t="s">
        <v>31</v>
      </c>
      <c r="G219" s="33" t="s">
        <v>16</v>
      </c>
      <c r="H219" s="33" t="s">
        <v>144</v>
      </c>
      <c r="I219" s="33" t="s">
        <v>145</v>
      </c>
      <c r="J219" s="33" t="s">
        <v>8</v>
      </c>
      <c r="K219" s="33" t="s">
        <v>146</v>
      </c>
      <c r="L219" s="33" t="s">
        <v>18</v>
      </c>
      <c r="M219" s="33" t="s">
        <v>16</v>
      </c>
      <c r="N219" s="33" t="s">
        <v>19</v>
      </c>
      <c r="O219" s="33" t="s">
        <v>147</v>
      </c>
      <c r="P219" s="33" t="s">
        <v>16</v>
      </c>
      <c r="Q219" s="33" t="s">
        <v>148</v>
      </c>
    </row>
    <row r="220" spans="1:17" x14ac:dyDescent="0.25">
      <c r="B220" t="s">
        <v>6</v>
      </c>
      <c r="E220" s="33" t="s">
        <v>149</v>
      </c>
      <c r="F220" s="33" t="s">
        <v>27</v>
      </c>
      <c r="G220" s="33" t="s">
        <v>150</v>
      </c>
      <c r="H220" s="33" t="s">
        <v>150</v>
      </c>
      <c r="I220" s="33" t="s">
        <v>27</v>
      </c>
      <c r="J220" s="33" t="s">
        <v>10</v>
      </c>
      <c r="K220" s="33" t="s">
        <v>151</v>
      </c>
      <c r="L220" s="33" t="s">
        <v>152</v>
      </c>
      <c r="M220" s="33" t="s">
        <v>21</v>
      </c>
      <c r="N220" s="33" t="s">
        <v>21</v>
      </c>
      <c r="O220" s="33" t="s">
        <v>153</v>
      </c>
      <c r="P220" s="33" t="s">
        <v>28</v>
      </c>
      <c r="Q220" s="33" t="s">
        <v>154</v>
      </c>
    </row>
    <row r="221" spans="1:17" x14ac:dyDescent="0.25">
      <c r="C221" t="s">
        <v>29</v>
      </c>
      <c r="E221" t="b">
        <v>0</v>
      </c>
      <c r="F221" s="34">
        <v>50</v>
      </c>
      <c r="G221" s="35">
        <f>CHOOSE(K221,E273,E299,E326)</f>
        <v>0</v>
      </c>
      <c r="H221" s="35"/>
      <c r="I221" s="35">
        <f>F221</f>
        <v>50</v>
      </c>
      <c r="J221" s="36"/>
      <c r="K221">
        <v>1</v>
      </c>
      <c r="M221" t="b">
        <v>0</v>
      </c>
      <c r="O221" s="36">
        <v>0.05</v>
      </c>
      <c r="P221" s="36">
        <v>0</v>
      </c>
      <c r="Q221" t="b">
        <v>0</v>
      </c>
    </row>
    <row r="222" spans="1:17" ht="15.75" thickBot="1" x14ac:dyDescent="0.3">
      <c r="C222" t="s">
        <v>155</v>
      </c>
      <c r="E222" t="b">
        <v>1</v>
      </c>
      <c r="F222" s="50">
        <f>F225-F221-F223</f>
        <v>317.96528539752478</v>
      </c>
      <c r="G222" s="35">
        <f>CHOOSE(K222,E273,E300,E326)</f>
        <v>78.684788357447431</v>
      </c>
      <c r="H222" s="35"/>
      <c r="I222" s="35">
        <f>I225-I221-I223</f>
        <v>239.28470646403537</v>
      </c>
      <c r="J222" s="36"/>
      <c r="K222">
        <v>2</v>
      </c>
      <c r="M222" t="b">
        <v>1</v>
      </c>
      <c r="O222" s="36">
        <v>0.85</v>
      </c>
      <c r="P222" s="36">
        <v>0.05</v>
      </c>
      <c r="Q222" t="b">
        <v>1</v>
      </c>
    </row>
    <row r="223" spans="1:17" ht="15.75" thickBot="1" x14ac:dyDescent="0.3">
      <c r="C223" t="s">
        <v>156</v>
      </c>
      <c r="E223" t="b">
        <v>0</v>
      </c>
      <c r="F223" s="38">
        <f>E350</f>
        <v>638.06971460247519</v>
      </c>
      <c r="G223" s="35">
        <f>CHOOSE(K223,E273,E299,E326)</f>
        <v>47.35021164255258</v>
      </c>
      <c r="H223" s="35"/>
      <c r="I223" s="39">
        <f>F230</f>
        <v>590.71529353596463</v>
      </c>
      <c r="J223" s="36"/>
      <c r="K223">
        <v>3</v>
      </c>
      <c r="L223">
        <v>1.3</v>
      </c>
      <c r="M223" t="b">
        <v>1</v>
      </c>
      <c r="O223" s="36">
        <v>0.05</v>
      </c>
      <c r="P223" s="36">
        <v>0.1</v>
      </c>
      <c r="Q223" t="b">
        <v>0</v>
      </c>
    </row>
    <row r="225" spans="1:9" x14ac:dyDescent="0.25">
      <c r="F225" s="35">
        <f>I225+G225</f>
        <v>1006.035</v>
      </c>
      <c r="G225" s="35">
        <f>SUM(G221:G223)</f>
        <v>126.03500000000001</v>
      </c>
      <c r="H225" s="35"/>
      <c r="I225" s="35">
        <f>F236</f>
        <v>880</v>
      </c>
    </row>
    <row r="226" spans="1:9" x14ac:dyDescent="0.25">
      <c r="F226" s="35"/>
      <c r="G226" s="35"/>
      <c r="H226" s="35"/>
      <c r="I226" s="35"/>
    </row>
    <row r="227" spans="1:9" x14ac:dyDescent="0.25">
      <c r="C227" t="s">
        <v>158</v>
      </c>
      <c r="F227" s="35">
        <v>200</v>
      </c>
      <c r="G227" s="35" t="s">
        <v>227</v>
      </c>
      <c r="H227" s="35"/>
      <c r="I227" s="35"/>
    </row>
    <row r="229" spans="1:9" x14ac:dyDescent="0.25">
      <c r="C229" t="s">
        <v>170</v>
      </c>
      <c r="F229" s="35">
        <f>F223-G223</f>
        <v>590.71950295992258</v>
      </c>
      <c r="G229" t="s">
        <v>228</v>
      </c>
      <c r="I229" s="35"/>
    </row>
    <row r="230" spans="1:9" x14ac:dyDescent="0.25">
      <c r="C230" t="s">
        <v>172</v>
      </c>
      <c r="F230" s="41">
        <v>590.71529353596463</v>
      </c>
      <c r="G230" t="s">
        <v>229</v>
      </c>
    </row>
    <row r="231" spans="1:9" x14ac:dyDescent="0.25">
      <c r="C231" t="s">
        <v>35</v>
      </c>
      <c r="F231" s="42">
        <f>F229-F230</f>
        <v>4.2094239579455461E-3</v>
      </c>
      <c r="G231" t="s">
        <v>230</v>
      </c>
    </row>
    <row r="233" spans="1:9" x14ac:dyDescent="0.25">
      <c r="C233" t="s">
        <v>175</v>
      </c>
      <c r="F233" s="35">
        <f>ROUND(sr_diff,2)</f>
        <v>0</v>
      </c>
      <c r="G233" t="s">
        <v>231</v>
      </c>
    </row>
    <row r="235" spans="1:9" x14ac:dyDescent="0.25">
      <c r="A235" t="s">
        <v>177</v>
      </c>
      <c r="B235" t="s">
        <v>32</v>
      </c>
    </row>
    <row r="236" spans="1:9" x14ac:dyDescent="0.25">
      <c r="C236" t="s">
        <v>110</v>
      </c>
      <c r="F236" s="35">
        <f>SUMPRODUCT(F244:J244*F247:J247)</f>
        <v>880</v>
      </c>
    </row>
    <row r="237" spans="1:9" x14ac:dyDescent="0.25">
      <c r="C237" t="s">
        <v>178</v>
      </c>
    </row>
    <row r="238" spans="1:9" x14ac:dyDescent="0.25">
      <c r="C238" t="s">
        <v>179</v>
      </c>
      <c r="F238" s="35"/>
    </row>
    <row r="239" spans="1:9" x14ac:dyDescent="0.25">
      <c r="C239" t="s">
        <v>31</v>
      </c>
      <c r="F239" s="35">
        <f>SUM(F236:F238)</f>
        <v>880</v>
      </c>
    </row>
    <row r="241" spans="1:10" x14ac:dyDescent="0.25">
      <c r="B241" t="s">
        <v>119</v>
      </c>
    </row>
    <row r="242" spans="1:10" x14ac:dyDescent="0.25">
      <c r="C242" t="s">
        <v>53</v>
      </c>
      <c r="F242">
        <f>G242-1</f>
        <v>-4</v>
      </c>
      <c r="G242">
        <f>H242-1</f>
        <v>-3</v>
      </c>
      <c r="H242">
        <f>I242-1</f>
        <v>-2</v>
      </c>
      <c r="I242">
        <f>J242-1</f>
        <v>-1</v>
      </c>
      <c r="J242">
        <v>0</v>
      </c>
    </row>
    <row r="243" spans="1:10" x14ac:dyDescent="0.25">
      <c r="C243" t="s">
        <v>54</v>
      </c>
      <c r="F243" t="b">
        <f>F242=0</f>
        <v>0</v>
      </c>
      <c r="G243" t="b">
        <f>G242=0</f>
        <v>0</v>
      </c>
      <c r="H243" t="b">
        <f>H242=0</f>
        <v>0</v>
      </c>
      <c r="I243" t="b">
        <f>I242=0</f>
        <v>0</v>
      </c>
      <c r="J243" t="b">
        <f>J242=0</f>
        <v>1</v>
      </c>
    </row>
    <row r="244" spans="1:10" x14ac:dyDescent="0.25">
      <c r="C244" t="s">
        <v>181</v>
      </c>
      <c r="F244" t="b">
        <f>F242&lt;1</f>
        <v>1</v>
      </c>
      <c r="G244" t="b">
        <f>G242&lt;1</f>
        <v>1</v>
      </c>
      <c r="H244" t="b">
        <f>H242&lt;1</f>
        <v>1</v>
      </c>
      <c r="I244" t="b">
        <f>I242&lt;1</f>
        <v>1</v>
      </c>
      <c r="J244" t="b">
        <f>J242&lt;1</f>
        <v>1</v>
      </c>
    </row>
    <row r="246" spans="1:10" x14ac:dyDescent="0.25">
      <c r="B246" t="s">
        <v>182</v>
      </c>
    </row>
    <row r="247" spans="1:10" x14ac:dyDescent="0.25">
      <c r="C247" t="s">
        <v>110</v>
      </c>
      <c r="F247" s="35">
        <f>F16</f>
        <v>100</v>
      </c>
      <c r="G247" s="35">
        <f>G16</f>
        <v>130</v>
      </c>
      <c r="H247" s="35">
        <f>H16</f>
        <v>180</v>
      </c>
      <c r="I247" s="35">
        <f>I16</f>
        <v>220</v>
      </c>
      <c r="J247" s="35">
        <f>J16</f>
        <v>250</v>
      </c>
    </row>
    <row r="248" spans="1:10" x14ac:dyDescent="0.25">
      <c r="C248" t="s">
        <v>183</v>
      </c>
      <c r="F248" s="35">
        <f>F270+F294+F322</f>
        <v>0</v>
      </c>
      <c r="G248" s="35">
        <f>G270+G294+G322</f>
        <v>0</v>
      </c>
      <c r="H248" s="35">
        <f>H270+H294+H322</f>
        <v>0</v>
      </c>
      <c r="I248" s="35">
        <f>I270+I294+I322</f>
        <v>0</v>
      </c>
      <c r="J248" s="35">
        <f>J270+J294+J322</f>
        <v>0</v>
      </c>
    </row>
    <row r="249" spans="1:10" x14ac:dyDescent="0.25">
      <c r="C249" t="s">
        <v>97</v>
      </c>
      <c r="F249" s="35"/>
      <c r="G249" s="35"/>
      <c r="H249" s="35"/>
      <c r="I249" s="35"/>
      <c r="J249" s="35"/>
    </row>
    <row r="250" spans="1:10" ht="15.75" thickBot="1" x14ac:dyDescent="0.3">
      <c r="C250" s="27" t="s">
        <v>185</v>
      </c>
      <c r="D250" s="27"/>
      <c r="E250" s="27"/>
      <c r="F250" s="44">
        <f>SUM(F247:F248)</f>
        <v>100</v>
      </c>
      <c r="G250" s="44">
        <f>G247</f>
        <v>130</v>
      </c>
      <c r="H250" s="44">
        <f>H247</f>
        <v>180</v>
      </c>
      <c r="I250" s="44">
        <f>I247</f>
        <v>220</v>
      </c>
      <c r="J250" s="44">
        <f>J247</f>
        <v>250</v>
      </c>
    </row>
    <row r="251" spans="1:10" ht="15.75" thickTop="1" x14ac:dyDescent="0.25">
      <c r="F251" s="35"/>
      <c r="G251" s="35"/>
      <c r="H251" s="35"/>
      <c r="I251" s="35"/>
      <c r="J251" s="35"/>
    </row>
    <row r="252" spans="1:10" ht="15.75" thickBot="1" x14ac:dyDescent="0.3">
      <c r="B252" t="s">
        <v>186</v>
      </c>
      <c r="F252" s="35"/>
      <c r="G252" s="35"/>
      <c r="H252" s="35"/>
      <c r="I252" s="35"/>
      <c r="J252" s="35"/>
    </row>
    <row r="253" spans="1:10" ht="15.75" thickBot="1" x14ac:dyDescent="0.3">
      <c r="B253">
        <v>1</v>
      </c>
      <c r="C253" s="45">
        <f>MATCH(B253,K221:K223,0)</f>
        <v>1</v>
      </c>
      <c r="D253" t="str">
        <f>INDEX(C221:C223,C253)</f>
        <v>Equity</v>
      </c>
      <c r="F253" s="35"/>
      <c r="G253" s="35"/>
      <c r="H253" s="35"/>
      <c r="I253" s="35"/>
      <c r="J253" s="35"/>
    </row>
    <row r="254" spans="1:10" x14ac:dyDescent="0.25">
      <c r="A254" t="s">
        <v>177</v>
      </c>
      <c r="C254" t="s">
        <v>187</v>
      </c>
      <c r="E254" s="35">
        <f>INDEX(F221:F223,C253)</f>
        <v>50</v>
      </c>
      <c r="F254" s="35">
        <f t="shared" ref="F254:J256" si="6">E254</f>
        <v>50</v>
      </c>
      <c r="G254" s="35">
        <f t="shared" si="6"/>
        <v>50</v>
      </c>
      <c r="H254" s="35">
        <f t="shared" si="6"/>
        <v>50</v>
      </c>
      <c r="I254" s="35">
        <f t="shared" si="6"/>
        <v>50</v>
      </c>
      <c r="J254" s="35">
        <f t="shared" si="6"/>
        <v>50</v>
      </c>
    </row>
    <row r="255" spans="1:10" x14ac:dyDescent="0.25">
      <c r="C255" t="s">
        <v>188</v>
      </c>
      <c r="E255" s="35">
        <f>E273</f>
        <v>0</v>
      </c>
      <c r="F255" s="35">
        <f t="shared" si="6"/>
        <v>0</v>
      </c>
      <c r="G255" s="35">
        <f t="shared" si="6"/>
        <v>0</v>
      </c>
      <c r="H255" s="35">
        <f t="shared" si="6"/>
        <v>0</v>
      </c>
      <c r="I255" s="35">
        <f t="shared" si="6"/>
        <v>0</v>
      </c>
      <c r="J255" s="35">
        <f t="shared" si="6"/>
        <v>0</v>
      </c>
    </row>
    <row r="256" spans="1:10" x14ac:dyDescent="0.25">
      <c r="C256" t="s">
        <v>189</v>
      </c>
      <c r="E256" s="35">
        <f>INDEX(I221:I223,C253)</f>
        <v>50</v>
      </c>
      <c r="F256" s="35">
        <f t="shared" si="6"/>
        <v>50</v>
      </c>
      <c r="G256" s="35">
        <f t="shared" si="6"/>
        <v>50</v>
      </c>
      <c r="H256" s="35">
        <f t="shared" si="6"/>
        <v>50</v>
      </c>
      <c r="I256" s="35">
        <f t="shared" si="6"/>
        <v>50</v>
      </c>
      <c r="J256" s="35">
        <f t="shared" si="6"/>
        <v>50</v>
      </c>
    </row>
    <row r="257" spans="2:10" x14ac:dyDescent="0.25">
      <c r="C257" t="s">
        <v>190</v>
      </c>
      <c r="F257" s="35">
        <f>F262</f>
        <v>0</v>
      </c>
      <c r="G257" s="35">
        <f>G262</f>
        <v>50</v>
      </c>
      <c r="H257" s="35">
        <f>H262</f>
        <v>50</v>
      </c>
      <c r="I257" s="35">
        <f>I262</f>
        <v>50</v>
      </c>
      <c r="J257" s="35">
        <f>J262</f>
        <v>50</v>
      </c>
    </row>
    <row r="258" spans="2:10" x14ac:dyDescent="0.25">
      <c r="C258" t="s">
        <v>191</v>
      </c>
      <c r="F258" s="35">
        <f>E272</f>
        <v>0</v>
      </c>
      <c r="G258" s="35">
        <f>F272</f>
        <v>0</v>
      </c>
      <c r="H258" s="35">
        <f>G272</f>
        <v>0</v>
      </c>
      <c r="I258" s="35">
        <f>H272</f>
        <v>0</v>
      </c>
      <c r="J258" s="35">
        <f>I272</f>
        <v>0</v>
      </c>
    </row>
    <row r="259" spans="2:10" x14ac:dyDescent="0.25">
      <c r="C259" t="s">
        <v>192</v>
      </c>
      <c r="F259" s="35">
        <f>MAX(F256-F257+F258,0)</f>
        <v>50</v>
      </c>
      <c r="G259" s="35">
        <f>MAX(G256-G257+G258,0)</f>
        <v>0</v>
      </c>
      <c r="H259" s="35">
        <f>MAX(H256-H257+H258,0)</f>
        <v>0</v>
      </c>
      <c r="I259" s="35">
        <f>MAX(I256-I257+I258,0)</f>
        <v>0</v>
      </c>
      <c r="J259" s="35">
        <f>MAX(J256-J257+J258,0)</f>
        <v>0</v>
      </c>
    </row>
    <row r="260" spans="2:10" x14ac:dyDescent="0.25">
      <c r="F260" s="35"/>
      <c r="G260" s="35"/>
      <c r="H260" s="35"/>
      <c r="I260" s="35"/>
      <c r="J260" s="35"/>
    </row>
    <row r="261" spans="2:10" x14ac:dyDescent="0.25">
      <c r="B261" t="str">
        <f>D253&amp;" Balance"</f>
        <v>Equity Balance</v>
      </c>
      <c r="F261" s="35"/>
      <c r="G261" s="35"/>
      <c r="H261" s="35"/>
      <c r="I261" s="35"/>
      <c r="J261" s="35"/>
    </row>
    <row r="262" spans="2:10" ht="15.75" thickBot="1" x14ac:dyDescent="0.3">
      <c r="C262" t="s">
        <v>70</v>
      </c>
      <c r="F262" s="35">
        <f>E265</f>
        <v>0</v>
      </c>
      <c r="G262" s="35">
        <f>F265</f>
        <v>50</v>
      </c>
      <c r="H262" s="35">
        <f>G265</f>
        <v>50</v>
      </c>
      <c r="I262" s="35">
        <f>H265</f>
        <v>50</v>
      </c>
      <c r="J262" s="35">
        <f>I265</f>
        <v>50</v>
      </c>
    </row>
    <row r="263" spans="2:10" ht="15.75" thickBot="1" x14ac:dyDescent="0.3">
      <c r="C263" s="29" t="s">
        <v>71</v>
      </c>
      <c r="D263" s="30"/>
      <c r="E263" s="46">
        <f>SUM(F263:J263)</f>
        <v>50</v>
      </c>
      <c r="F263" s="46">
        <f>MIN(F259,F250)</f>
        <v>50</v>
      </c>
      <c r="G263" s="46">
        <f>MIN(G259,G250)</f>
        <v>0</v>
      </c>
      <c r="H263" s="46">
        <f>MIN(H259,H250)</f>
        <v>0</v>
      </c>
      <c r="I263" s="46">
        <f>MIN(I259,I250)</f>
        <v>0</v>
      </c>
      <c r="J263" s="47">
        <f>MIN(J259,J250)</f>
        <v>0</v>
      </c>
    </row>
    <row r="264" spans="2:10" x14ac:dyDescent="0.25">
      <c r="C264" t="s">
        <v>193</v>
      </c>
      <c r="F264" s="35">
        <f>F269</f>
        <v>0</v>
      </c>
      <c r="G264" s="35">
        <f>G269</f>
        <v>0</v>
      </c>
      <c r="H264" s="35">
        <f>H269</f>
        <v>0</v>
      </c>
      <c r="I264" s="35">
        <f>I269</f>
        <v>0</v>
      </c>
      <c r="J264" s="35">
        <f>J269</f>
        <v>0</v>
      </c>
    </row>
    <row r="265" spans="2:10" x14ac:dyDescent="0.25">
      <c r="C265" t="s">
        <v>72</v>
      </c>
      <c r="F265" s="35">
        <f>F262+F263+F264</f>
        <v>50</v>
      </c>
      <c r="G265" s="35">
        <f>G262+G263+G264</f>
        <v>50</v>
      </c>
      <c r="H265" s="35">
        <f>H262+H263+H264</f>
        <v>50</v>
      </c>
      <c r="I265" s="35">
        <f>I262+I263+I264</f>
        <v>50</v>
      </c>
      <c r="J265" s="35">
        <f>J262+J263+J264</f>
        <v>50</v>
      </c>
    </row>
    <row r="266" spans="2:10" x14ac:dyDescent="0.25">
      <c r="F266" s="35"/>
      <c r="G266" s="35"/>
      <c r="H266" s="35"/>
      <c r="I266" s="35"/>
      <c r="J266" s="35"/>
    </row>
    <row r="267" spans="2:10" x14ac:dyDescent="0.25">
      <c r="C267" t="s">
        <v>79</v>
      </c>
      <c r="E267" s="36">
        <f>INDEX(P221:P223,C253)</f>
        <v>0</v>
      </c>
      <c r="F267" s="36">
        <f>E267</f>
        <v>0</v>
      </c>
      <c r="G267" s="36">
        <f>F267</f>
        <v>0</v>
      </c>
      <c r="H267" s="36">
        <f>G267</f>
        <v>0</v>
      </c>
      <c r="I267" s="36">
        <f>H267</f>
        <v>0</v>
      </c>
      <c r="J267" s="36">
        <f>I267</f>
        <v>0</v>
      </c>
    </row>
    <row r="268" spans="2:10" x14ac:dyDescent="0.25">
      <c r="C268" t="s">
        <v>80</v>
      </c>
      <c r="F268" s="35">
        <f>F267*F262</f>
        <v>0</v>
      </c>
      <c r="G268" s="35">
        <f>G267*G262</f>
        <v>0</v>
      </c>
      <c r="H268" s="35">
        <f>H267*H262</f>
        <v>0</v>
      </c>
      <c r="I268" s="35">
        <f>I267*I262</f>
        <v>0</v>
      </c>
      <c r="J268" s="35">
        <f>J267*J262</f>
        <v>0</v>
      </c>
    </row>
    <row r="269" spans="2:10" x14ac:dyDescent="0.25">
      <c r="C269" t="s">
        <v>81</v>
      </c>
      <c r="E269" t="b">
        <f>INDEX(M221:M223,C253)</f>
        <v>0</v>
      </c>
      <c r="F269" s="35">
        <f>$E269*F268</f>
        <v>0</v>
      </c>
      <c r="G269" s="35">
        <f>$E269*G268</f>
        <v>0</v>
      </c>
      <c r="H269" s="35">
        <f>$E269*H268</f>
        <v>0</v>
      </c>
      <c r="I269" s="35">
        <f>$E269*I268</f>
        <v>0</v>
      </c>
      <c r="J269" s="35">
        <f>$E269*J268</f>
        <v>0</v>
      </c>
    </row>
    <row r="270" spans="2:10" x14ac:dyDescent="0.25">
      <c r="C270" t="s">
        <v>179</v>
      </c>
      <c r="F270" s="35">
        <f>F268-F269</f>
        <v>0</v>
      </c>
      <c r="G270" s="35">
        <f>G268-G269</f>
        <v>0</v>
      </c>
      <c r="H270" s="35">
        <f>H268-H269</f>
        <v>0</v>
      </c>
      <c r="I270" s="35">
        <f>I268-I269</f>
        <v>0</v>
      </c>
      <c r="J270" s="35">
        <f>J268-J269</f>
        <v>0</v>
      </c>
    </row>
    <row r="271" spans="2:10" x14ac:dyDescent="0.25">
      <c r="F271" s="35"/>
      <c r="G271" s="35"/>
      <c r="H271" s="35"/>
      <c r="I271" s="35"/>
      <c r="J271" s="35"/>
    </row>
    <row r="272" spans="2:10" x14ac:dyDescent="0.25">
      <c r="C272" t="s">
        <v>197</v>
      </c>
      <c r="F272" s="35">
        <f>E272+F264</f>
        <v>0</v>
      </c>
      <c r="G272" s="35">
        <f>F272+G264</f>
        <v>0</v>
      </c>
      <c r="H272" s="35">
        <f>G272+H264</f>
        <v>0</v>
      </c>
      <c r="I272" s="35">
        <f>H272+I264</f>
        <v>0</v>
      </c>
      <c r="J272" s="35">
        <f>I272+J264</f>
        <v>0</v>
      </c>
    </row>
    <row r="273" spans="2:10" x14ac:dyDescent="0.25">
      <c r="C273" t="s">
        <v>198</v>
      </c>
      <c r="E273" s="35">
        <f>SUMPRODUCT(F269:J269*F244:J244)</f>
        <v>0</v>
      </c>
      <c r="F273" s="35"/>
      <c r="G273" s="35"/>
      <c r="H273" s="35"/>
      <c r="I273" s="35"/>
      <c r="J273" s="35"/>
    </row>
    <row r="274" spans="2:10" x14ac:dyDescent="0.25">
      <c r="F274" s="35"/>
      <c r="G274" s="35"/>
      <c r="H274" s="35"/>
      <c r="I274" s="35"/>
      <c r="J274" s="35"/>
    </row>
    <row r="275" spans="2:10" ht="15.75" thickBot="1" x14ac:dyDescent="0.3">
      <c r="B275" s="48" t="s">
        <v>200</v>
      </c>
      <c r="C275" s="48"/>
      <c r="D275" s="48"/>
      <c r="E275" s="48"/>
      <c r="F275" s="49">
        <f>F250-F263</f>
        <v>50</v>
      </c>
      <c r="G275" s="49">
        <f>G250-G263</f>
        <v>130</v>
      </c>
      <c r="H275" s="49">
        <f>H250-H263</f>
        <v>180</v>
      </c>
      <c r="I275" s="49">
        <f>I250-I263</f>
        <v>220</v>
      </c>
      <c r="J275" s="49">
        <f>J250-J263</f>
        <v>250</v>
      </c>
    </row>
    <row r="276" spans="2:10" x14ac:dyDescent="0.25">
      <c r="F276" s="35"/>
      <c r="G276" s="35"/>
      <c r="H276" s="35"/>
      <c r="I276" s="35"/>
      <c r="J276" s="35"/>
    </row>
    <row r="277" spans="2:10" x14ac:dyDescent="0.25">
      <c r="B277" t="s">
        <v>201</v>
      </c>
      <c r="F277" s="35"/>
      <c r="G277" s="35"/>
      <c r="H277" s="35"/>
      <c r="I277" s="35"/>
      <c r="J277" s="35"/>
    </row>
    <row r="278" spans="2:10" x14ac:dyDescent="0.25">
      <c r="B278">
        <v>2</v>
      </c>
      <c r="C278">
        <f>MATCH(B278,K221:K223,0)</f>
        <v>2</v>
      </c>
      <c r="D278" t="str">
        <f>INDEX(C221:C223,C278)</f>
        <v>Sub Debt</v>
      </c>
      <c r="F278" s="35"/>
      <c r="G278" s="35"/>
      <c r="H278" s="35"/>
      <c r="I278" s="35"/>
      <c r="J278" s="35"/>
    </row>
    <row r="279" spans="2:10" x14ac:dyDescent="0.25">
      <c r="C279" t="s">
        <v>202</v>
      </c>
      <c r="E279" s="35">
        <f>INDEX(F221:F223,C278)</f>
        <v>317.96528539752478</v>
      </c>
      <c r="F279" s="35">
        <f t="shared" ref="F279:J281" si="7">E279</f>
        <v>317.96528539752478</v>
      </c>
      <c r="G279" s="35">
        <f t="shared" si="7"/>
        <v>317.96528539752478</v>
      </c>
      <c r="H279" s="35">
        <f t="shared" si="7"/>
        <v>317.96528539752478</v>
      </c>
      <c r="I279" s="35">
        <f t="shared" si="7"/>
        <v>317.96528539752478</v>
      </c>
      <c r="J279" s="35">
        <f t="shared" si="7"/>
        <v>317.96528539752478</v>
      </c>
    </row>
    <row r="280" spans="2:10" x14ac:dyDescent="0.25">
      <c r="C280" t="s">
        <v>203</v>
      </c>
      <c r="E280" s="35">
        <v>168.34575000000001</v>
      </c>
      <c r="F280" s="35">
        <f t="shared" si="7"/>
        <v>168.34575000000001</v>
      </c>
      <c r="G280" s="35">
        <f t="shared" si="7"/>
        <v>168.34575000000001</v>
      </c>
      <c r="H280" s="35">
        <f t="shared" si="7"/>
        <v>168.34575000000001</v>
      </c>
      <c r="I280" s="35">
        <f t="shared" si="7"/>
        <v>168.34575000000001</v>
      </c>
      <c r="J280" s="35">
        <f t="shared" si="7"/>
        <v>168.34575000000001</v>
      </c>
    </row>
    <row r="281" spans="2:10" x14ac:dyDescent="0.25">
      <c r="C281" t="s">
        <v>204</v>
      </c>
      <c r="E281" s="35">
        <f>INDEX(I221:I223,C278)</f>
        <v>239.28470646403537</v>
      </c>
      <c r="F281" s="35">
        <f t="shared" si="7"/>
        <v>239.28470646403537</v>
      </c>
      <c r="G281" s="35">
        <f t="shared" si="7"/>
        <v>239.28470646403537</v>
      </c>
      <c r="H281" s="35">
        <f t="shared" si="7"/>
        <v>239.28470646403537</v>
      </c>
      <c r="I281" s="35">
        <f t="shared" si="7"/>
        <v>239.28470646403537</v>
      </c>
      <c r="J281" s="35">
        <f t="shared" si="7"/>
        <v>239.28470646403537</v>
      </c>
    </row>
    <row r="282" spans="2:10" x14ac:dyDescent="0.25">
      <c r="C282" t="s">
        <v>205</v>
      </c>
      <c r="F282" s="35">
        <f>F286</f>
        <v>0</v>
      </c>
      <c r="G282" s="35">
        <f>G286</f>
        <v>50</v>
      </c>
      <c r="H282" s="35">
        <f>H286</f>
        <v>185</v>
      </c>
      <c r="I282" s="35">
        <f>I286</f>
        <v>262.78470646403537</v>
      </c>
      <c r="J282" s="35">
        <f>J286</f>
        <v>289.06317711043891</v>
      </c>
    </row>
    <row r="283" spans="2:10" x14ac:dyDescent="0.25">
      <c r="C283" t="s">
        <v>191</v>
      </c>
      <c r="F283" s="35">
        <f>E297</f>
        <v>0</v>
      </c>
      <c r="G283" s="35">
        <f>F297</f>
        <v>0</v>
      </c>
      <c r="H283" s="35">
        <f>G297</f>
        <v>5</v>
      </c>
      <c r="I283" s="35">
        <f>H297</f>
        <v>23.5</v>
      </c>
      <c r="J283" s="35">
        <f>I297</f>
        <v>49.778470646403534</v>
      </c>
    </row>
    <row r="284" spans="2:10" x14ac:dyDescent="0.25">
      <c r="C284" t="s">
        <v>129</v>
      </c>
      <c r="F284" s="35">
        <f>MAX(F281-F282+F283,0)</f>
        <v>239.28470646403537</v>
      </c>
      <c r="G284" s="35">
        <f>MAX(G281-G282+G283,0)</f>
        <v>189.28470646403537</v>
      </c>
      <c r="H284" s="35">
        <f>MAX(H281-H282+H283,0)</f>
        <v>59.284706464035366</v>
      </c>
      <c r="I284" s="35">
        <f>MAX(I281-I282+I283,0)</f>
        <v>0</v>
      </c>
      <c r="J284" s="35">
        <f>MAX(J281-J282+J283,0)</f>
        <v>0</v>
      </c>
    </row>
    <row r="285" spans="2:10" x14ac:dyDescent="0.25">
      <c r="F285" s="35"/>
      <c r="G285" s="35"/>
      <c r="H285" s="35"/>
      <c r="I285" s="35"/>
      <c r="J285" s="35"/>
    </row>
    <row r="286" spans="2:10" ht="15.75" thickBot="1" x14ac:dyDescent="0.3">
      <c r="C286" t="s">
        <v>70</v>
      </c>
      <c r="F286" s="35">
        <f>D289</f>
        <v>0</v>
      </c>
      <c r="G286" s="35">
        <f>F289</f>
        <v>50</v>
      </c>
      <c r="H286" s="35">
        <f>G289</f>
        <v>185</v>
      </c>
      <c r="I286" s="35">
        <f>H289</f>
        <v>262.78470646403537</v>
      </c>
      <c r="J286" s="35">
        <f>I289</f>
        <v>289.06317711043891</v>
      </c>
    </row>
    <row r="287" spans="2:10" ht="15.75" thickBot="1" x14ac:dyDescent="0.3">
      <c r="C287" s="29" t="s">
        <v>206</v>
      </c>
      <c r="D287" s="30"/>
      <c r="E287" s="46">
        <f>SUM(F287:J287)</f>
        <v>239.28470646403537</v>
      </c>
      <c r="F287" s="46">
        <f>MIN(F275,F284)</f>
        <v>50</v>
      </c>
      <c r="G287" s="46">
        <f>MIN(G275,G284)</f>
        <v>130</v>
      </c>
      <c r="H287" s="46">
        <f>MIN(H275,H284)</f>
        <v>59.284706464035366</v>
      </c>
      <c r="I287" s="46">
        <f>MIN(I275,I284)</f>
        <v>0</v>
      </c>
      <c r="J287" s="47">
        <f>MIN(J275,J284)</f>
        <v>0</v>
      </c>
    </row>
    <row r="288" spans="2:10" x14ac:dyDescent="0.25">
      <c r="C288" t="s">
        <v>207</v>
      </c>
      <c r="E288" s="35">
        <f>E287</f>
        <v>239.28470646403537</v>
      </c>
      <c r="F288" s="35">
        <f>F293</f>
        <v>0</v>
      </c>
      <c r="G288" s="35">
        <f>G293</f>
        <v>5</v>
      </c>
      <c r="H288" s="35">
        <f>H293</f>
        <v>18.5</v>
      </c>
      <c r="I288" s="35">
        <f>I293</f>
        <v>26.278470646403537</v>
      </c>
      <c r="J288" s="35">
        <f>J293</f>
        <v>28.906317711043894</v>
      </c>
    </row>
    <row r="289" spans="2:10" x14ac:dyDescent="0.25">
      <c r="C289" t="s">
        <v>72</v>
      </c>
      <c r="F289" s="35">
        <f>F286+F287+F288</f>
        <v>50</v>
      </c>
      <c r="G289" s="35">
        <f>G286+G287+G288</f>
        <v>185</v>
      </c>
      <c r="H289" s="35">
        <f>H286+H287+H288</f>
        <v>262.78470646403537</v>
      </c>
      <c r="I289" s="35">
        <f>I286+I287+I288</f>
        <v>289.06317711043891</v>
      </c>
      <c r="J289" s="35">
        <f>J286+J287+J288</f>
        <v>317.96949482148278</v>
      </c>
    </row>
    <row r="291" spans="2:10" x14ac:dyDescent="0.25">
      <c r="C291" t="s">
        <v>79</v>
      </c>
      <c r="F291" s="36">
        <f>P223</f>
        <v>0.1</v>
      </c>
      <c r="G291" s="36">
        <f>F291</f>
        <v>0.1</v>
      </c>
      <c r="H291" s="36">
        <f>G291</f>
        <v>0.1</v>
      </c>
      <c r="I291" s="36">
        <f>H291</f>
        <v>0.1</v>
      </c>
      <c r="J291" s="36">
        <f>I291</f>
        <v>0.1</v>
      </c>
    </row>
    <row r="292" spans="2:10" x14ac:dyDescent="0.25">
      <c r="C292" t="s">
        <v>80</v>
      </c>
      <c r="F292" s="35">
        <f>F291*F286</f>
        <v>0</v>
      </c>
      <c r="G292" s="35">
        <f>G291*G286</f>
        <v>5</v>
      </c>
      <c r="H292" s="35">
        <f>H291*H286</f>
        <v>18.5</v>
      </c>
      <c r="I292" s="35">
        <f>I291*I286</f>
        <v>26.278470646403537</v>
      </c>
      <c r="J292" s="35">
        <f>J291*J286</f>
        <v>28.906317711043894</v>
      </c>
    </row>
    <row r="293" spans="2:10" x14ac:dyDescent="0.25">
      <c r="C293" t="s">
        <v>208</v>
      </c>
      <c r="E293" t="b">
        <f>INDEX(M221:M223,C278)</f>
        <v>1</v>
      </c>
      <c r="F293" s="35">
        <f>$E293*F292</f>
        <v>0</v>
      </c>
      <c r="G293" s="35">
        <f>$E293*G292</f>
        <v>5</v>
      </c>
      <c r="H293" s="35">
        <f>$E293*H292</f>
        <v>18.5</v>
      </c>
      <c r="I293" s="35">
        <f>$E293*I292</f>
        <v>26.278470646403537</v>
      </c>
      <c r="J293" s="35">
        <f>$E293*J292</f>
        <v>28.906317711043894</v>
      </c>
    </row>
    <row r="294" spans="2:10" x14ac:dyDescent="0.25">
      <c r="C294" t="s">
        <v>179</v>
      </c>
      <c r="F294" s="35">
        <f>F292-F293</f>
        <v>0</v>
      </c>
      <c r="G294" s="35">
        <f>G292-G293</f>
        <v>0</v>
      </c>
      <c r="H294" s="35">
        <f>H292-H293</f>
        <v>0</v>
      </c>
      <c r="I294" s="35">
        <f>I292-I293</f>
        <v>0</v>
      </c>
      <c r="J294" s="35">
        <f>J292-J293</f>
        <v>0</v>
      </c>
    </row>
    <row r="295" spans="2:10" x14ac:dyDescent="0.25">
      <c r="C295" t="s">
        <v>209</v>
      </c>
      <c r="F295" s="35">
        <f>E295+F293</f>
        <v>0</v>
      </c>
      <c r="G295" s="35">
        <f>F295+G293</f>
        <v>5</v>
      </c>
      <c r="H295" s="35">
        <f>G295+H293</f>
        <v>23.5</v>
      </c>
      <c r="I295" s="35">
        <f>H295+I293</f>
        <v>49.778470646403534</v>
      </c>
      <c r="J295" s="35">
        <f>I295+J293</f>
        <v>78.684788357447431</v>
      </c>
    </row>
    <row r="296" spans="2:10" x14ac:dyDescent="0.25">
      <c r="F296" s="36"/>
      <c r="G296" s="36"/>
      <c r="H296" s="36"/>
      <c r="I296" s="36"/>
      <c r="J296" s="36"/>
    </row>
    <row r="297" spans="2:10" x14ac:dyDescent="0.25">
      <c r="C297" t="s">
        <v>232</v>
      </c>
      <c r="F297" s="35">
        <f>E297+F288</f>
        <v>0</v>
      </c>
      <c r="G297" s="35">
        <f>F297+G288</f>
        <v>5</v>
      </c>
      <c r="H297" s="35">
        <f>G297+H288</f>
        <v>23.5</v>
      </c>
      <c r="I297" s="35">
        <f>H297+I288</f>
        <v>49.778470646403534</v>
      </c>
      <c r="J297" s="35">
        <f>I297+J288</f>
        <v>78.684788357447431</v>
      </c>
    </row>
    <row r="298" spans="2:10" x14ac:dyDescent="0.25">
      <c r="F298" s="35"/>
      <c r="G298" s="35"/>
      <c r="H298" s="35"/>
      <c r="I298" s="35"/>
      <c r="J298" s="35"/>
    </row>
    <row r="299" spans="2:10" x14ac:dyDescent="0.25">
      <c r="C299" t="s">
        <v>212</v>
      </c>
      <c r="E299" s="35">
        <f>SUMPRODUCT(F293:J293*F244:J244)</f>
        <v>78.684788357447431</v>
      </c>
      <c r="G299" s="35"/>
      <c r="H299" s="35"/>
      <c r="I299" s="35"/>
      <c r="J299" s="35"/>
    </row>
    <row r="300" spans="2:10" x14ac:dyDescent="0.25">
      <c r="C300" t="s">
        <v>86</v>
      </c>
      <c r="E300" s="35">
        <f>E299</f>
        <v>78.684788357447431</v>
      </c>
      <c r="G300" s="35"/>
      <c r="H300" s="35"/>
      <c r="I300" s="35"/>
      <c r="J300" s="35"/>
    </row>
    <row r="302" spans="2:10" ht="15.75" thickBot="1" x14ac:dyDescent="0.3">
      <c r="B302" s="48" t="s">
        <v>214</v>
      </c>
      <c r="C302" s="48"/>
      <c r="D302" s="48"/>
      <c r="E302" s="48"/>
      <c r="F302" s="49">
        <f>F275-F287</f>
        <v>0</v>
      </c>
      <c r="G302" s="49">
        <f>G275-G287</f>
        <v>0</v>
      </c>
      <c r="H302" s="49">
        <f>H275-H287</f>
        <v>120.71529353596463</v>
      </c>
      <c r="I302" s="49">
        <f>I275-I287</f>
        <v>220</v>
      </c>
      <c r="J302" s="49">
        <f>J275-J287</f>
        <v>250</v>
      </c>
    </row>
    <row r="304" spans="2:10" x14ac:dyDescent="0.25">
      <c r="B304" t="s">
        <v>215</v>
      </c>
    </row>
    <row r="305" spans="2:10" x14ac:dyDescent="0.25">
      <c r="B305">
        <v>3</v>
      </c>
      <c r="C305">
        <f>MATCH(B305,K221:K223,0)</f>
        <v>3</v>
      </c>
      <c r="D305" t="str">
        <f>INDEX(C221:C223,C305)</f>
        <v>Senior Debt</v>
      </c>
    </row>
    <row r="306" spans="2:10" x14ac:dyDescent="0.25">
      <c r="C306" t="s">
        <v>187</v>
      </c>
      <c r="E306" s="35">
        <f>INDEX(F221:F223,C305)</f>
        <v>638.06971460247519</v>
      </c>
      <c r="F306" s="35">
        <f t="shared" ref="F306:J308" si="8">E306</f>
        <v>638.06971460247519</v>
      </c>
      <c r="G306" s="35">
        <f t="shared" si="8"/>
        <v>638.06971460247519</v>
      </c>
      <c r="H306" s="35">
        <f t="shared" si="8"/>
        <v>638.06971460247519</v>
      </c>
      <c r="I306" s="35">
        <f t="shared" si="8"/>
        <v>638.06971460247519</v>
      </c>
      <c r="J306" s="35">
        <f t="shared" si="8"/>
        <v>638.06971460247519</v>
      </c>
    </row>
    <row r="307" spans="2:10" x14ac:dyDescent="0.25">
      <c r="C307" t="s">
        <v>188</v>
      </c>
      <c r="E307" s="35">
        <f>E326</f>
        <v>47.35021164255258</v>
      </c>
      <c r="F307" s="35">
        <f t="shared" si="8"/>
        <v>47.35021164255258</v>
      </c>
      <c r="G307" s="35">
        <f t="shared" si="8"/>
        <v>47.35021164255258</v>
      </c>
      <c r="H307" s="35">
        <f t="shared" si="8"/>
        <v>47.35021164255258</v>
      </c>
      <c r="I307" s="35">
        <f t="shared" si="8"/>
        <v>47.35021164255258</v>
      </c>
      <c r="J307" s="35">
        <f t="shared" si="8"/>
        <v>47.35021164255258</v>
      </c>
    </row>
    <row r="308" spans="2:10" x14ac:dyDescent="0.25">
      <c r="C308" t="s">
        <v>189</v>
      </c>
      <c r="E308" s="35">
        <f>INDEX(I221:I223,C305)</f>
        <v>590.71529353596463</v>
      </c>
      <c r="F308" s="35">
        <f t="shared" si="8"/>
        <v>590.71529353596463</v>
      </c>
      <c r="G308" s="35">
        <f t="shared" si="8"/>
        <v>590.71529353596463</v>
      </c>
      <c r="H308" s="35">
        <f t="shared" si="8"/>
        <v>590.71529353596463</v>
      </c>
      <c r="I308" s="35">
        <f t="shared" si="8"/>
        <v>590.71529353596463</v>
      </c>
      <c r="J308" s="35">
        <f t="shared" si="8"/>
        <v>590.71529353596463</v>
      </c>
    </row>
    <row r="309" spans="2:10" x14ac:dyDescent="0.25">
      <c r="C309" t="s">
        <v>190</v>
      </c>
      <c r="F309" s="35">
        <f>F314</f>
        <v>0</v>
      </c>
      <c r="G309" s="35">
        <f>G314</f>
        <v>0</v>
      </c>
      <c r="H309" s="35">
        <f>H314</f>
        <v>0</v>
      </c>
      <c r="I309" s="35">
        <f>I314</f>
        <v>120.71529353596463</v>
      </c>
      <c r="J309" s="35">
        <f>J314</f>
        <v>352.78682288956111</v>
      </c>
    </row>
    <row r="310" spans="2:10" x14ac:dyDescent="0.25">
      <c r="C310" t="s">
        <v>191</v>
      </c>
      <c r="F310" s="35">
        <f>E324</f>
        <v>0</v>
      </c>
      <c r="G310" s="35">
        <f>F324</f>
        <v>0</v>
      </c>
      <c r="H310" s="35">
        <f>G324</f>
        <v>0</v>
      </c>
      <c r="I310" s="35">
        <f>H324</f>
        <v>0</v>
      </c>
      <c r="J310" s="35">
        <f>I324</f>
        <v>12.071529353596464</v>
      </c>
    </row>
    <row r="311" spans="2:10" x14ac:dyDescent="0.25">
      <c r="C311" t="s">
        <v>192</v>
      </c>
      <c r="F311" s="35">
        <f>MAX(F308-F309+F310,0)</f>
        <v>590.71529353596463</v>
      </c>
      <c r="G311" s="35">
        <f>MAX(G308-G309+G310,0)</f>
        <v>590.71529353596463</v>
      </c>
      <c r="H311" s="35">
        <f>MAX(H308-H309+H310,0)</f>
        <v>590.71529353596463</v>
      </c>
      <c r="I311" s="35">
        <f>MAX(I308-I309+I310,0)</f>
        <v>470</v>
      </c>
      <c r="J311" s="35">
        <f>MAX(J308-J309+J310,0)</f>
        <v>250</v>
      </c>
    </row>
    <row r="312" spans="2:10" x14ac:dyDescent="0.25">
      <c r="F312" s="35"/>
      <c r="G312" s="35"/>
      <c r="H312" s="35"/>
      <c r="I312" s="35"/>
      <c r="J312" s="35"/>
    </row>
    <row r="313" spans="2:10" x14ac:dyDescent="0.25">
      <c r="B313" t="str">
        <f>D305&amp;" Balance"</f>
        <v>Senior Debt Balance</v>
      </c>
      <c r="F313" s="35"/>
      <c r="G313" s="35"/>
      <c r="H313" s="35"/>
      <c r="I313" s="35"/>
      <c r="J313" s="35"/>
    </row>
    <row r="314" spans="2:10" ht="15.75" thickBot="1" x14ac:dyDescent="0.3">
      <c r="C314" t="s">
        <v>70</v>
      </c>
      <c r="F314" s="35">
        <f>E317</f>
        <v>0</v>
      </c>
      <c r="G314" s="35">
        <f>F317</f>
        <v>0</v>
      </c>
      <c r="H314" s="35">
        <f>G317</f>
        <v>0</v>
      </c>
      <c r="I314" s="35">
        <f>H317</f>
        <v>120.71529353596463</v>
      </c>
      <c r="J314" s="35">
        <f>I317</f>
        <v>352.78682288956111</v>
      </c>
    </row>
    <row r="315" spans="2:10" ht="15.75" thickBot="1" x14ac:dyDescent="0.3">
      <c r="C315" s="29" t="s">
        <v>71</v>
      </c>
      <c r="D315" s="30"/>
      <c r="E315" s="46">
        <f>SUM(F315:J315)</f>
        <v>590.71529353596463</v>
      </c>
      <c r="F315" s="46">
        <f>MIN(F311,F302)</f>
        <v>0</v>
      </c>
      <c r="G315" s="46">
        <f>MIN(G311,G302)</f>
        <v>0</v>
      </c>
      <c r="H315" s="46">
        <f>MIN(H311,H302)</f>
        <v>120.71529353596463</v>
      </c>
      <c r="I315" s="46">
        <f>MIN(I311,I302)</f>
        <v>220</v>
      </c>
      <c r="J315" s="47">
        <f>MIN(J311,J302)</f>
        <v>250</v>
      </c>
    </row>
    <row r="316" spans="2:10" x14ac:dyDescent="0.25">
      <c r="C316" t="s">
        <v>193</v>
      </c>
      <c r="F316" s="35">
        <f>F321</f>
        <v>0</v>
      </c>
      <c r="G316" s="35">
        <f>G321</f>
        <v>0</v>
      </c>
      <c r="H316" s="35">
        <f>H321</f>
        <v>0</v>
      </c>
      <c r="I316" s="35">
        <f>I321</f>
        <v>12.071529353596464</v>
      </c>
      <c r="J316" s="35">
        <f>J321</f>
        <v>35.278682288956112</v>
      </c>
    </row>
    <row r="317" spans="2:10" x14ac:dyDescent="0.25">
      <c r="C317" t="s">
        <v>72</v>
      </c>
      <c r="F317" s="35">
        <f>F314+F315+F316</f>
        <v>0</v>
      </c>
      <c r="G317" s="35">
        <f>G314+G315+G316</f>
        <v>0</v>
      </c>
      <c r="H317" s="35">
        <f>H314+H315+H316</f>
        <v>120.71529353596463</v>
      </c>
      <c r="I317" s="35">
        <f>I314+I315+I316</f>
        <v>352.78682288956111</v>
      </c>
      <c r="J317" s="35">
        <f>J314+J315+J316</f>
        <v>638.06550517851724</v>
      </c>
    </row>
    <row r="318" spans="2:10" x14ac:dyDescent="0.25">
      <c r="F318" s="35"/>
      <c r="G318" s="35"/>
      <c r="H318" s="35"/>
      <c r="I318" s="35"/>
      <c r="J318" s="35"/>
    </row>
    <row r="319" spans="2:10" x14ac:dyDescent="0.25">
      <c r="C319" t="s">
        <v>79</v>
      </c>
      <c r="E319" s="36">
        <f>INDEX(P221:P223,C305)</f>
        <v>0.1</v>
      </c>
      <c r="F319" s="36">
        <f>E319</f>
        <v>0.1</v>
      </c>
      <c r="G319" s="36">
        <f>F319</f>
        <v>0.1</v>
      </c>
      <c r="H319" s="36">
        <f>G319</f>
        <v>0.1</v>
      </c>
      <c r="I319" s="36">
        <f>H319</f>
        <v>0.1</v>
      </c>
      <c r="J319" s="36">
        <f>I319</f>
        <v>0.1</v>
      </c>
    </row>
    <row r="320" spans="2:10" x14ac:dyDescent="0.25">
      <c r="C320" t="s">
        <v>80</v>
      </c>
      <c r="F320" s="35">
        <f>F319*F314</f>
        <v>0</v>
      </c>
      <c r="G320" s="35">
        <f>G319*G314</f>
        <v>0</v>
      </c>
      <c r="H320" s="35">
        <f>H319*H314</f>
        <v>0</v>
      </c>
      <c r="I320" s="35">
        <f>I319*I314</f>
        <v>12.071529353596464</v>
      </c>
      <c r="J320" s="35">
        <f>J319*J314</f>
        <v>35.278682288956112</v>
      </c>
    </row>
    <row r="321" spans="2:10" x14ac:dyDescent="0.25">
      <c r="C321" t="s">
        <v>81</v>
      </c>
      <c r="E321" t="b">
        <f>INDEX(M221:M223,C305)</f>
        <v>1</v>
      </c>
      <c r="F321" s="35">
        <f>$E321*F320</f>
        <v>0</v>
      </c>
      <c r="G321" s="35">
        <f>$E321*G320</f>
        <v>0</v>
      </c>
      <c r="H321" s="35">
        <f>$E321*H320</f>
        <v>0</v>
      </c>
      <c r="I321" s="35">
        <f>$E321*I320</f>
        <v>12.071529353596464</v>
      </c>
      <c r="J321" s="35">
        <f>$E321*J320</f>
        <v>35.278682288956112</v>
      </c>
    </row>
    <row r="322" spans="2:10" x14ac:dyDescent="0.25">
      <c r="C322" t="s">
        <v>179</v>
      </c>
      <c r="F322" s="35">
        <f>F320-F321</f>
        <v>0</v>
      </c>
      <c r="G322" s="35">
        <f>G320-G321</f>
        <v>0</v>
      </c>
      <c r="H322" s="35">
        <f>H320-H321</f>
        <v>0</v>
      </c>
      <c r="I322" s="35">
        <f>I320-I321</f>
        <v>0</v>
      </c>
      <c r="J322" s="35">
        <f>J320-J321</f>
        <v>0</v>
      </c>
    </row>
    <row r="323" spans="2:10" x14ac:dyDescent="0.25">
      <c r="F323" s="35"/>
      <c r="G323" s="35"/>
      <c r="H323" s="35"/>
      <c r="I323" s="35"/>
      <c r="J323" s="35"/>
    </row>
    <row r="324" spans="2:10" x14ac:dyDescent="0.25">
      <c r="C324" t="s">
        <v>197</v>
      </c>
      <c r="F324" s="35">
        <f>E324+F321</f>
        <v>0</v>
      </c>
      <c r="G324" s="35">
        <f>F324+G321</f>
        <v>0</v>
      </c>
      <c r="H324" s="35">
        <f>G324+H321</f>
        <v>0</v>
      </c>
      <c r="I324" s="35">
        <f>H324+I321</f>
        <v>12.071529353596464</v>
      </c>
      <c r="J324" s="35">
        <f>I324+J321</f>
        <v>47.35021164255258</v>
      </c>
    </row>
    <row r="325" spans="2:10" x14ac:dyDescent="0.25">
      <c r="F325" s="35"/>
      <c r="G325" s="35"/>
      <c r="H325" s="35"/>
      <c r="I325" s="35"/>
      <c r="J325" s="35"/>
    </row>
    <row r="326" spans="2:10" x14ac:dyDescent="0.25">
      <c r="C326" t="s">
        <v>198</v>
      </c>
      <c r="E326" s="35">
        <f>SUMPRODUCT(F321:J321*F244:J244)</f>
        <v>47.35021164255258</v>
      </c>
      <c r="F326" s="35"/>
      <c r="G326" s="35"/>
      <c r="H326" s="35"/>
      <c r="I326" s="35"/>
      <c r="J326" s="35"/>
    </row>
    <row r="328" spans="2:10" x14ac:dyDescent="0.25">
      <c r="B328" t="s">
        <v>222</v>
      </c>
    </row>
    <row r="329" spans="2:10" x14ac:dyDescent="0.25">
      <c r="C329" t="s">
        <v>110</v>
      </c>
      <c r="F329" s="35">
        <f>F247</f>
        <v>100</v>
      </c>
      <c r="G329" s="35">
        <f>G247</f>
        <v>130</v>
      </c>
      <c r="H329" s="35">
        <f>H247</f>
        <v>180</v>
      </c>
      <c r="I329" s="35">
        <f>I247</f>
        <v>220</v>
      </c>
      <c r="J329" s="35">
        <f>J247</f>
        <v>250</v>
      </c>
    </row>
    <row r="330" spans="2:10" x14ac:dyDescent="0.25">
      <c r="C330" t="s">
        <v>111</v>
      </c>
      <c r="F330" s="35">
        <f>F268+F292+F320</f>
        <v>0</v>
      </c>
      <c r="G330" s="35">
        <f>G268+G292+G320</f>
        <v>5</v>
      </c>
      <c r="H330" s="35">
        <f>H268+H292+H320</f>
        <v>18.5</v>
      </c>
      <c r="I330" s="35">
        <f>I268+I292+I320</f>
        <v>38.35</v>
      </c>
      <c r="J330" s="35">
        <f>J268+J292+J320</f>
        <v>64.185000000000002</v>
      </c>
    </row>
    <row r="331" spans="2:10" x14ac:dyDescent="0.25">
      <c r="C331" t="s">
        <v>224</v>
      </c>
    </row>
    <row r="332" spans="2:10" ht="15.75" thickBot="1" x14ac:dyDescent="0.3">
      <c r="D332" s="48" t="s">
        <v>31</v>
      </c>
      <c r="E332" s="48"/>
      <c r="F332" s="49">
        <f>SUM(F329:F331)</f>
        <v>100</v>
      </c>
      <c r="G332" s="49">
        <f>SUM(G329:G331)</f>
        <v>135</v>
      </c>
      <c r="H332" s="49">
        <f>SUM(H329:H331)</f>
        <v>198.5</v>
      </c>
      <c r="I332" s="49">
        <f>SUM(I329:I331)</f>
        <v>258.35000000000002</v>
      </c>
      <c r="J332" s="49">
        <f>SUM(J329:J331)</f>
        <v>314.185</v>
      </c>
    </row>
    <row r="334" spans="2:10" x14ac:dyDescent="0.25">
      <c r="B334" t="s">
        <v>225</v>
      </c>
    </row>
    <row r="335" spans="2:10" x14ac:dyDescent="0.25">
      <c r="C335" t="str">
        <f>D253</f>
        <v>Equity</v>
      </c>
      <c r="F335" s="35">
        <f>F263</f>
        <v>50</v>
      </c>
      <c r="G335" s="35">
        <f>G263</f>
        <v>0</v>
      </c>
      <c r="H335" s="35">
        <f>H263</f>
        <v>0</v>
      </c>
      <c r="I335" s="35">
        <f>I263</f>
        <v>0</v>
      </c>
      <c r="J335" s="35">
        <f>J263</f>
        <v>0</v>
      </c>
    </row>
    <row r="336" spans="2:10" x14ac:dyDescent="0.25">
      <c r="C336" t="str">
        <f>D278</f>
        <v>Sub Debt</v>
      </c>
      <c r="F336" s="35">
        <f>F287</f>
        <v>50</v>
      </c>
      <c r="G336" s="35">
        <f>G287</f>
        <v>130</v>
      </c>
      <c r="H336" s="35">
        <f>H287</f>
        <v>59.284706464035366</v>
      </c>
      <c r="I336" s="35">
        <f>I287</f>
        <v>0</v>
      </c>
      <c r="J336" s="35">
        <f>J287</f>
        <v>0</v>
      </c>
    </row>
    <row r="337" spans="3:19" x14ac:dyDescent="0.25">
      <c r="C337" t="str">
        <f>D305</f>
        <v>Senior Debt</v>
      </c>
      <c r="F337" s="35">
        <f>F315</f>
        <v>0</v>
      </c>
      <c r="G337" s="35">
        <f>G315</f>
        <v>0</v>
      </c>
      <c r="H337" s="35">
        <f>H315</f>
        <v>120.71529353596463</v>
      </c>
      <c r="I337" s="35">
        <f>I315</f>
        <v>220</v>
      </c>
      <c r="J337" s="35">
        <f>J315</f>
        <v>250</v>
      </c>
    </row>
    <row r="338" spans="3:19" x14ac:dyDescent="0.25">
      <c r="C338" t="str">
        <f>C335&amp;" Capitalised Interest and Fees"</f>
        <v>Equity Capitalised Interest and Fees</v>
      </c>
      <c r="F338" s="35">
        <f>F269</f>
        <v>0</v>
      </c>
      <c r="G338" s="35">
        <f>G269</f>
        <v>0</v>
      </c>
      <c r="H338" s="35">
        <f>H269</f>
        <v>0</v>
      </c>
      <c r="I338" s="35">
        <f>I269</f>
        <v>0</v>
      </c>
      <c r="J338" s="35">
        <f>J269</f>
        <v>0</v>
      </c>
    </row>
    <row r="339" spans="3:19" x14ac:dyDescent="0.25">
      <c r="C339" t="str">
        <f>C336&amp;" Capitalised Interest and Fees"</f>
        <v>Sub Debt Capitalised Interest and Fees</v>
      </c>
      <c r="F339" s="35">
        <f>F293</f>
        <v>0</v>
      </c>
      <c r="G339" s="35">
        <f>G293</f>
        <v>5</v>
      </c>
      <c r="H339" s="35">
        <f>H293</f>
        <v>18.5</v>
      </c>
      <c r="I339" s="35">
        <f>I293</f>
        <v>26.278470646403537</v>
      </c>
      <c r="J339" s="35">
        <f>J293</f>
        <v>28.906317711043894</v>
      </c>
    </row>
    <row r="340" spans="3:19" x14ac:dyDescent="0.25">
      <c r="C340" t="str">
        <f>C337&amp;" Capitalised Interest and Fees"</f>
        <v>Senior Debt Capitalised Interest and Fees</v>
      </c>
      <c r="F340" s="35">
        <f>F321</f>
        <v>0</v>
      </c>
      <c r="G340" s="35">
        <f>G321</f>
        <v>0</v>
      </c>
      <c r="H340" s="35">
        <f>H321</f>
        <v>0</v>
      </c>
      <c r="I340" s="35">
        <f>I321</f>
        <v>12.071529353596464</v>
      </c>
      <c r="J340" s="35">
        <f>J321</f>
        <v>35.278682288956112</v>
      </c>
    </row>
    <row r="341" spans="3:19" ht="15.75" thickBot="1" x14ac:dyDescent="0.3">
      <c r="D341" s="48" t="s">
        <v>31</v>
      </c>
      <c r="E341" s="48"/>
      <c r="F341" s="49">
        <f>SUM(F335:F340)</f>
        <v>100</v>
      </c>
      <c r="G341" s="49">
        <f>SUM(G335:G340)</f>
        <v>135</v>
      </c>
      <c r="H341" s="49">
        <f>SUM(H335:H340)</f>
        <v>198.5</v>
      </c>
      <c r="I341" s="49">
        <f>SUM(I335:I340)</f>
        <v>258.35000000000002</v>
      </c>
      <c r="J341" s="49">
        <f>SUM(J335:J340)</f>
        <v>314.185</v>
      </c>
    </row>
    <row r="344" spans="3:19" x14ac:dyDescent="0.25">
      <c r="C344" t="s">
        <v>103</v>
      </c>
      <c r="K344" s="35">
        <v>130</v>
      </c>
      <c r="L344" s="35">
        <f>K344*1.03</f>
        <v>133.9</v>
      </c>
      <c r="M344" s="35">
        <f t="shared" ref="M344:S344" si="9">L344*1.03</f>
        <v>137.917</v>
      </c>
      <c r="N344" s="35">
        <f t="shared" si="9"/>
        <v>142.05450999999999</v>
      </c>
      <c r="O344" s="35">
        <f t="shared" si="9"/>
        <v>146.31614529999999</v>
      </c>
      <c r="P344" s="35">
        <f t="shared" si="9"/>
        <v>150.70562965899998</v>
      </c>
      <c r="Q344" s="35">
        <f t="shared" si="9"/>
        <v>155.22679854876998</v>
      </c>
      <c r="R344" s="35">
        <f t="shared" si="9"/>
        <v>159.88360250523309</v>
      </c>
      <c r="S344" s="35">
        <f t="shared" si="9"/>
        <v>164.68011058039008</v>
      </c>
    </row>
    <row r="345" spans="3:19" x14ac:dyDescent="0.25">
      <c r="C345" t="s">
        <v>18</v>
      </c>
      <c r="K345">
        <f t="shared" ref="K345:S345" si="10">$L$223</f>
        <v>1.3</v>
      </c>
      <c r="L345">
        <f t="shared" si="10"/>
        <v>1.3</v>
      </c>
      <c r="M345">
        <f t="shared" si="10"/>
        <v>1.3</v>
      </c>
      <c r="N345">
        <f t="shared" si="10"/>
        <v>1.3</v>
      </c>
      <c r="O345">
        <f t="shared" si="10"/>
        <v>1.3</v>
      </c>
      <c r="P345">
        <f t="shared" si="10"/>
        <v>1.3</v>
      </c>
      <c r="Q345">
        <f t="shared" si="10"/>
        <v>1.3</v>
      </c>
      <c r="R345">
        <f t="shared" si="10"/>
        <v>1.3</v>
      </c>
      <c r="S345">
        <f t="shared" si="10"/>
        <v>1.3</v>
      </c>
    </row>
    <row r="346" spans="3:19" x14ac:dyDescent="0.25">
      <c r="C346" t="s">
        <v>90</v>
      </c>
      <c r="K346" s="35">
        <f t="shared" ref="K346:S346" si="11">K344/K345</f>
        <v>100</v>
      </c>
      <c r="L346" s="35">
        <f t="shared" si="11"/>
        <v>103</v>
      </c>
      <c r="M346" s="35">
        <f t="shared" si="11"/>
        <v>106.09</v>
      </c>
      <c r="N346" s="35">
        <f t="shared" si="11"/>
        <v>109.27269999999999</v>
      </c>
      <c r="O346" s="35">
        <f t="shared" si="11"/>
        <v>112.55088099999999</v>
      </c>
      <c r="P346" s="35">
        <f t="shared" si="11"/>
        <v>115.92740742999999</v>
      </c>
      <c r="Q346" s="35">
        <f t="shared" si="11"/>
        <v>119.40522965289998</v>
      </c>
      <c r="R346" s="35">
        <f t="shared" si="11"/>
        <v>122.98738654248699</v>
      </c>
      <c r="S346" s="35">
        <f t="shared" si="11"/>
        <v>126.67700813876159</v>
      </c>
    </row>
    <row r="348" spans="3:19" x14ac:dyDescent="0.25">
      <c r="C348" t="s">
        <v>79</v>
      </c>
      <c r="K348" s="36">
        <f>P223</f>
        <v>0.1</v>
      </c>
      <c r="L348" s="36">
        <f t="shared" ref="L348:S348" si="12">K348</f>
        <v>0.1</v>
      </c>
      <c r="M348" s="36">
        <f t="shared" si="12"/>
        <v>0.1</v>
      </c>
      <c r="N348" s="36">
        <f t="shared" si="12"/>
        <v>0.1</v>
      </c>
      <c r="O348" s="36">
        <f t="shared" si="12"/>
        <v>0.1</v>
      </c>
      <c r="P348" s="36">
        <f t="shared" si="12"/>
        <v>0.1</v>
      </c>
      <c r="Q348" s="36">
        <f t="shared" si="12"/>
        <v>0.1</v>
      </c>
      <c r="R348" s="36">
        <f t="shared" si="12"/>
        <v>0.1</v>
      </c>
      <c r="S348" s="36">
        <f t="shared" si="12"/>
        <v>0.1</v>
      </c>
    </row>
    <row r="350" spans="3:19" x14ac:dyDescent="0.25">
      <c r="C350" t="s">
        <v>233</v>
      </c>
      <c r="E350" s="35">
        <f>NPV(K348,K346:S346)</f>
        <v>638.06971460247519</v>
      </c>
    </row>
    <row r="352" spans="3:19" x14ac:dyDescent="0.25">
      <c r="C352" t="s">
        <v>234</v>
      </c>
    </row>
    <row r="353" spans="4:19" x14ac:dyDescent="0.25">
      <c r="D353" t="s">
        <v>70</v>
      </c>
      <c r="K353" s="35">
        <f>J355</f>
        <v>638.06971460247519</v>
      </c>
      <c r="L353" s="35">
        <f t="shared" ref="L353:S353" si="13">K355</f>
        <v>601.87668606272268</v>
      </c>
      <c r="M353" s="35">
        <f t="shared" si="13"/>
        <v>559.06435466899495</v>
      </c>
      <c r="N353" s="35">
        <f t="shared" si="13"/>
        <v>508.88079013589447</v>
      </c>
      <c r="O353" s="35">
        <f t="shared" si="13"/>
        <v>450.49616914948393</v>
      </c>
      <c r="P353" s="35">
        <f t="shared" si="13"/>
        <v>382.99490506443237</v>
      </c>
      <c r="Q353" s="35">
        <f t="shared" si="13"/>
        <v>305.36698814087561</v>
      </c>
      <c r="R353" s="35">
        <f t="shared" si="13"/>
        <v>216.49845730206317</v>
      </c>
      <c r="S353" s="35">
        <f t="shared" si="13"/>
        <v>115.16091648978251</v>
      </c>
    </row>
    <row r="354" spans="4:19" x14ac:dyDescent="0.25">
      <c r="D354" t="s">
        <v>235</v>
      </c>
      <c r="K354" s="35">
        <f t="shared" ref="K354:S354" si="14">K346-K357</f>
        <v>36.193028539752476</v>
      </c>
      <c r="L354" s="35">
        <f t="shared" si="14"/>
        <v>42.812331393727732</v>
      </c>
      <c r="M354" s="35">
        <f t="shared" si="14"/>
        <v>50.183564533100508</v>
      </c>
      <c r="N354" s="35">
        <f t="shared" si="14"/>
        <v>58.384620986410539</v>
      </c>
      <c r="O354" s="35">
        <f t="shared" si="14"/>
        <v>67.501264085051588</v>
      </c>
      <c r="P354" s="35">
        <f t="shared" si="14"/>
        <v>77.627916923556739</v>
      </c>
      <c r="Q354" s="35">
        <f t="shared" si="14"/>
        <v>88.868530838812418</v>
      </c>
      <c r="R354" s="35">
        <f t="shared" si="14"/>
        <v>101.33754081228066</v>
      </c>
      <c r="S354" s="35">
        <f t="shared" si="14"/>
        <v>115.16091648978335</v>
      </c>
    </row>
    <row r="355" spans="4:19" x14ac:dyDescent="0.25">
      <c r="D355" t="s">
        <v>72</v>
      </c>
      <c r="J355" s="35">
        <f>E350</f>
        <v>638.06971460247519</v>
      </c>
      <c r="K355" s="35">
        <f>K353-K354</f>
        <v>601.87668606272268</v>
      </c>
      <c r="L355" s="35">
        <f t="shared" ref="L355:S355" si="15">L353-L354</f>
        <v>559.06435466899495</v>
      </c>
      <c r="M355" s="35">
        <f t="shared" si="15"/>
        <v>508.88079013589447</v>
      </c>
      <c r="N355" s="35">
        <f t="shared" si="15"/>
        <v>450.49616914948393</v>
      </c>
      <c r="O355" s="35">
        <f t="shared" si="15"/>
        <v>382.99490506443237</v>
      </c>
      <c r="P355" s="35">
        <f t="shared" si="15"/>
        <v>305.36698814087561</v>
      </c>
      <c r="Q355" s="35">
        <f t="shared" si="15"/>
        <v>216.49845730206317</v>
      </c>
      <c r="R355" s="35">
        <f t="shared" si="15"/>
        <v>115.16091648978251</v>
      </c>
      <c r="S355" s="35">
        <f t="shared" si="15"/>
        <v>-8.3844042819691822E-13</v>
      </c>
    </row>
    <row r="357" spans="4:19" x14ac:dyDescent="0.25">
      <c r="D357" t="s">
        <v>236</v>
      </c>
      <c r="K357" s="35">
        <f t="shared" ref="K357:S357" si="16">K353*K348</f>
        <v>63.806971460247524</v>
      </c>
      <c r="L357" s="35">
        <f t="shared" si="16"/>
        <v>60.187668606272268</v>
      </c>
      <c r="M357" s="35">
        <f t="shared" si="16"/>
        <v>55.906435466899495</v>
      </c>
      <c r="N357" s="35">
        <f t="shared" si="16"/>
        <v>50.888079013589447</v>
      </c>
      <c r="O357" s="35">
        <f t="shared" si="16"/>
        <v>45.049616914948395</v>
      </c>
      <c r="P357" s="35">
        <f t="shared" si="16"/>
        <v>38.299490506443242</v>
      </c>
      <c r="Q357" s="35">
        <f t="shared" si="16"/>
        <v>30.536698814087561</v>
      </c>
      <c r="R357" s="35">
        <f t="shared" si="16"/>
        <v>21.649845730206319</v>
      </c>
      <c r="S357" s="35">
        <f t="shared" si="16"/>
        <v>11.516091648978252</v>
      </c>
    </row>
  </sheetData>
  <dataValidations count="7">
    <dataValidation allowBlank="1" showInputMessage="1" showErrorMessage="1" promptTitle="Funding Requirements" prompt="In a very simple case where all interest is capitalised.  Here, with no taxes and no DSCR, the model can be solved with one single copy and paste." sqref="I225"/>
    <dataValidation allowBlank="1" showInputMessage="1" showErrorMessage="1" promptTitle="This is from Sculpting" prompt="In this exercise, the amount of debt is assumed to be given.  In other exercises this comes from the sculpting amount which in turn comes from the CADS" sqref="F223 F57"/>
    <dataValidation allowBlank="1" showInputMessage="1" showErrorMessage="1" promptTitle="Switch for Construction" prompt="Use this switch to sum the accumulated cap interest and fees for each  tranche and for other items with the sumproduct" sqref="F88:J88 C88 F244:J244 C244"/>
    <dataValidation allowBlank="1" showInputMessage="1" showErrorMessage="1" promptTitle="Code for Index" prompt="This is the code used for the index functions below.  It is computed from the MATCH key and it allows the funding cascade to be flexible" sqref="C98 C253"/>
    <dataValidation allowBlank="1" showInputMessage="1" showErrorMessage="1" promptTitle="Fees" prompt="In real model this would be the up-front fee, the commitment fee and the agency fee_x000a_" sqref="C120 F120:J120 E118:J119 C190 F190:J190 E188:J189"/>
    <dataValidation allowBlank="1" showInputMessage="1" showErrorMessage="1" promptTitle="Switch for End of Construction" prompt="Use this switch to get the total accumulated funding requirements" sqref="C89 F14:J14 C14 C87 F87:J87 F89:J89 C245 C243 F243:J243 F245:J245"/>
    <dataValidation allowBlank="1" showInputMessage="1" showErrorMessage="1" promptTitle="Sumproduct" prompt="Use multiplication with sumproduct because of the switch variable" sqref="F8"/>
  </dataValidations>
  <hyperlinks>
    <hyperlink ref="A1" location="'Contents'!A1" display="Contents"/>
  </hyperlink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049" r:id="rId3" name="Check Box 1">
              <controlPr defaultSize="0" autoFill="0" autoLine="0" autoPict="0" macro="[1]!CheckBox1_Click">
                <anchor moveWithCells="1">
                  <from>
                    <xdr:col>10</xdr:col>
                    <xdr:colOff>333375</xdr:colOff>
                    <xdr:row>2</xdr:row>
                    <xdr:rowOff>66675</xdr:rowOff>
                  </from>
                  <to>
                    <xdr:col>11</xdr:col>
                    <xdr:colOff>695325</xdr:colOff>
                    <xdr:row>3</xdr:row>
                    <xdr:rowOff>171450</xdr:rowOff>
                  </to>
                </anchor>
              </controlPr>
            </control>
          </mc:Choice>
        </mc:AlternateContent>
        <mc:AlternateContent xmlns:mc="http://schemas.openxmlformats.org/markup-compatibility/2006">
          <mc:Choice Requires="x14">
            <control shapeId="2050" r:id="rId4" name="Check Box 2">
              <controlPr defaultSize="0" autoFill="0" autoLine="0" autoPict="0">
                <anchor moveWithCells="1">
                  <from>
                    <xdr:col>14</xdr:col>
                    <xdr:colOff>523875</xdr:colOff>
                    <xdr:row>55</xdr:row>
                    <xdr:rowOff>47625</xdr:rowOff>
                  </from>
                  <to>
                    <xdr:col>15</xdr:col>
                    <xdr:colOff>19050</xdr:colOff>
                    <xdr:row>55</xdr:row>
                    <xdr:rowOff>190500</xdr:rowOff>
                  </to>
                </anchor>
              </controlPr>
            </control>
          </mc:Choice>
        </mc:AlternateContent>
        <mc:AlternateContent xmlns:mc="http://schemas.openxmlformats.org/markup-compatibility/2006">
          <mc:Choice Requires="x14">
            <control shapeId="2051" r:id="rId5" name="Check Box 3">
              <controlPr defaultSize="0" autoFill="0" autoLine="0" autoPict="0">
                <anchor moveWithCells="1">
                  <from>
                    <xdr:col>3</xdr:col>
                    <xdr:colOff>1562100</xdr:colOff>
                    <xdr:row>147</xdr:row>
                    <xdr:rowOff>0</xdr:rowOff>
                  </from>
                  <to>
                    <xdr:col>3</xdr:col>
                    <xdr:colOff>1914525</xdr:colOff>
                    <xdr:row>147</xdr:row>
                    <xdr:rowOff>152400</xdr:rowOff>
                  </to>
                </anchor>
              </controlPr>
            </control>
          </mc:Choice>
        </mc:AlternateContent>
        <mc:AlternateContent xmlns:mc="http://schemas.openxmlformats.org/markup-compatibility/2006">
          <mc:Choice Requires="x14">
            <control shapeId="2052" r:id="rId6" name="Check Box 4">
              <controlPr defaultSize="0" autoFill="0" autoLine="0" autoPict="0">
                <anchor moveWithCells="1">
                  <from>
                    <xdr:col>15</xdr:col>
                    <xdr:colOff>561975</xdr:colOff>
                    <xdr:row>55</xdr:row>
                    <xdr:rowOff>38100</xdr:rowOff>
                  </from>
                  <to>
                    <xdr:col>16</xdr:col>
                    <xdr:colOff>57150</xdr:colOff>
                    <xdr:row>55</xdr:row>
                    <xdr:rowOff>180975</xdr:rowOff>
                  </to>
                </anchor>
              </controlPr>
            </control>
          </mc:Choice>
        </mc:AlternateContent>
        <mc:AlternateContent xmlns:mc="http://schemas.openxmlformats.org/markup-compatibility/2006">
          <mc:Choice Requires="x14">
            <control shapeId="2053" r:id="rId7" name="Check Box 5">
              <controlPr defaultSize="0" autoFill="0" autoLine="0" autoPict="0">
                <anchor moveWithCells="1">
                  <from>
                    <xdr:col>3</xdr:col>
                    <xdr:colOff>1600200</xdr:colOff>
                    <xdr:row>154</xdr:row>
                    <xdr:rowOff>47625</xdr:rowOff>
                  </from>
                  <to>
                    <xdr:col>3</xdr:col>
                    <xdr:colOff>1809750</xdr:colOff>
                    <xdr:row>155</xdr:row>
                    <xdr:rowOff>0</xdr:rowOff>
                  </to>
                </anchor>
              </controlPr>
            </control>
          </mc:Choice>
        </mc:AlternateContent>
        <mc:AlternateContent xmlns:mc="http://schemas.openxmlformats.org/markup-compatibility/2006">
          <mc:Choice Requires="x14">
            <control shapeId="2054" r:id="rId8" name="Check Box 6">
              <controlPr defaultSize="0" autoFill="0" autoLine="0" autoPict="0">
                <anchor moveWithCells="1">
                  <from>
                    <xdr:col>3</xdr:col>
                    <xdr:colOff>1828800</xdr:colOff>
                    <xdr:row>114</xdr:row>
                    <xdr:rowOff>9525</xdr:rowOff>
                  </from>
                  <to>
                    <xdr:col>3</xdr:col>
                    <xdr:colOff>2038350</xdr:colOff>
                    <xdr:row>114</xdr:row>
                    <xdr:rowOff>152400</xdr:rowOff>
                  </to>
                </anchor>
              </controlPr>
            </control>
          </mc:Choice>
        </mc:AlternateContent>
        <mc:AlternateContent xmlns:mc="http://schemas.openxmlformats.org/markup-compatibility/2006">
          <mc:Choice Requires="x14">
            <control shapeId="2055" r:id="rId9" name="Check Box 7">
              <controlPr defaultSize="0" autoFill="0" autoLine="0" autoPict="0">
                <anchor moveWithCells="1">
                  <from>
                    <xdr:col>3</xdr:col>
                    <xdr:colOff>1876425</xdr:colOff>
                    <xdr:row>120</xdr:row>
                    <xdr:rowOff>19050</xdr:rowOff>
                  </from>
                  <to>
                    <xdr:col>3</xdr:col>
                    <xdr:colOff>2085975</xdr:colOff>
                    <xdr:row>120</xdr:row>
                    <xdr:rowOff>161925</xdr:rowOff>
                  </to>
                </anchor>
              </controlPr>
            </control>
          </mc:Choice>
        </mc:AlternateContent>
        <mc:AlternateContent xmlns:mc="http://schemas.openxmlformats.org/markup-compatibility/2006">
          <mc:Choice Requires="x14">
            <control shapeId="2056" r:id="rId10" name="Check Box 8">
              <controlPr defaultSize="0" autoFill="0" autoLine="0" autoPict="0">
                <anchor moveWithCells="1">
                  <from>
                    <xdr:col>3</xdr:col>
                    <xdr:colOff>1828800</xdr:colOff>
                    <xdr:row>184</xdr:row>
                    <xdr:rowOff>9525</xdr:rowOff>
                  </from>
                  <to>
                    <xdr:col>3</xdr:col>
                    <xdr:colOff>2038350</xdr:colOff>
                    <xdr:row>184</xdr:row>
                    <xdr:rowOff>152400</xdr:rowOff>
                  </to>
                </anchor>
              </controlPr>
            </control>
          </mc:Choice>
        </mc:AlternateContent>
        <mc:AlternateContent xmlns:mc="http://schemas.openxmlformats.org/markup-compatibility/2006">
          <mc:Choice Requires="x14">
            <control shapeId="2057" r:id="rId11" name="Check Box 9">
              <controlPr defaultSize="0" autoFill="0" autoLine="0" autoPict="0">
                <anchor moveWithCells="1">
                  <from>
                    <xdr:col>3</xdr:col>
                    <xdr:colOff>1876425</xdr:colOff>
                    <xdr:row>190</xdr:row>
                    <xdr:rowOff>19050</xdr:rowOff>
                  </from>
                  <to>
                    <xdr:col>3</xdr:col>
                    <xdr:colOff>2085975</xdr:colOff>
                    <xdr:row>190</xdr:row>
                    <xdr:rowOff>161925</xdr:rowOff>
                  </to>
                </anchor>
              </controlPr>
            </control>
          </mc:Choice>
        </mc:AlternateContent>
        <mc:AlternateContent xmlns:mc="http://schemas.openxmlformats.org/markup-compatibility/2006">
          <mc:Choice Requires="x14">
            <control shapeId="2058" r:id="rId12" name="Button 10">
              <controlPr defaultSize="0" print="0" autoFill="0" autoPict="0" macro="[1]!Cascade_copy_paste">
                <anchor moveWithCells="1" sizeWithCells="1">
                  <from>
                    <xdr:col>7</xdr:col>
                    <xdr:colOff>657225</xdr:colOff>
                    <xdr:row>66</xdr:row>
                    <xdr:rowOff>152400</xdr:rowOff>
                  </from>
                  <to>
                    <xdr:col>10</xdr:col>
                    <xdr:colOff>285750</xdr:colOff>
                    <xdr:row>68</xdr:row>
                    <xdr:rowOff>76200</xdr:rowOff>
                  </to>
                </anchor>
              </controlPr>
            </control>
          </mc:Choice>
        </mc:AlternateContent>
        <mc:AlternateContent xmlns:mc="http://schemas.openxmlformats.org/markup-compatibility/2006">
          <mc:Choice Requires="x14">
            <control shapeId="2059" r:id="rId13" name="Check Box 11">
              <controlPr defaultSize="0" autoFill="0" autoLine="0" autoPict="0">
                <anchor moveWithCells="1">
                  <from>
                    <xdr:col>3</xdr:col>
                    <xdr:colOff>1828800</xdr:colOff>
                    <xdr:row>320</xdr:row>
                    <xdr:rowOff>9525</xdr:rowOff>
                  </from>
                  <to>
                    <xdr:col>3</xdr:col>
                    <xdr:colOff>2038350</xdr:colOff>
                    <xdr:row>320</xdr:row>
                    <xdr:rowOff>152400</xdr:rowOff>
                  </to>
                </anchor>
              </controlPr>
            </control>
          </mc:Choice>
        </mc:AlternateContent>
        <mc:AlternateContent xmlns:mc="http://schemas.openxmlformats.org/markup-compatibility/2006">
          <mc:Choice Requires="x14">
            <control shapeId="2060" r:id="rId14" name="Button 12">
              <controlPr defaultSize="0" print="0" autoFill="0" autoPict="0" macro="[1]!copy_paste_1">
                <anchor moveWithCells="1" sizeWithCells="1">
                  <from>
                    <xdr:col>8</xdr:col>
                    <xdr:colOff>638175</xdr:colOff>
                    <xdr:row>228</xdr:row>
                    <xdr:rowOff>57150</xdr:rowOff>
                  </from>
                  <to>
                    <xdr:col>11</xdr:col>
                    <xdr:colOff>47625</xdr:colOff>
                    <xdr:row>230</xdr:row>
                    <xdr:rowOff>142875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23</vt:i4>
      </vt:variant>
    </vt:vector>
  </HeadingPairs>
  <TitlesOfParts>
    <vt:vector size="25" baseType="lpstr">
      <vt:lpstr>Funding Circularity</vt:lpstr>
      <vt:lpstr>Funding Cascade</vt:lpstr>
      <vt:lpstr>diff_tot</vt:lpstr>
      <vt:lpstr>diff_tot1</vt:lpstr>
      <vt:lpstr>'Funding Circularity'!difference</vt:lpstr>
      <vt:lpstr>difference1</vt:lpstr>
      <vt:lpstr>from</vt:lpstr>
      <vt:lpstr>from1</vt:lpstr>
      <vt:lpstr>funding_difference</vt:lpstr>
      <vt:lpstr>funding_from</vt:lpstr>
      <vt:lpstr>funding_input</vt:lpstr>
      <vt:lpstr>max_iter</vt:lpstr>
      <vt:lpstr>senior_difference</vt:lpstr>
      <vt:lpstr>senior_from</vt:lpstr>
      <vt:lpstr>senior_to</vt:lpstr>
      <vt:lpstr>sr_diff</vt:lpstr>
      <vt:lpstr>sr_from</vt:lpstr>
      <vt:lpstr>sr_to</vt:lpstr>
      <vt:lpstr>sub_debt_difference</vt:lpstr>
      <vt:lpstr>sub_debt_from</vt:lpstr>
      <vt:lpstr>sub_debt_to</vt:lpstr>
      <vt:lpstr>to</vt:lpstr>
      <vt:lpstr>to1</vt:lpstr>
      <vt:lpstr>'Funding Cascade'!tot_diff</vt:lpstr>
      <vt:lpstr>total_difference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Monica Lewinski</dc:creator>
  <cp:lastModifiedBy>Monica Lewinski</cp:lastModifiedBy>
  <dcterms:created xsi:type="dcterms:W3CDTF">2011-12-11T22:38:04Z</dcterms:created>
  <dcterms:modified xsi:type="dcterms:W3CDTF">2011-12-11T22:39:43Z</dcterms:modified>
</cp:coreProperties>
</file>